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1.xml" ContentType="application/vnd.openxmlformats-officedocument.spreadsheetml.comments+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C:\Users\Ngugi PC\OneDrive\Desktop\Pencil Final\Pencil 6th March\public\downloads\"/>
    </mc:Choice>
  </mc:AlternateContent>
  <xr:revisionPtr revIDLastSave="0" documentId="13_ncr:1_{A2AB1C00-8ACE-4F0D-A0AD-30BDC009C7F7}" xr6:coauthVersionLast="41" xr6:coauthVersionMax="41" xr10:uidLastSave="{00000000-0000-0000-0000-000000000000}"/>
  <bookViews>
    <workbookView xWindow="57480" yWindow="-120" windowWidth="38640" windowHeight="21120" tabRatio="700" activeTab="9" xr2:uid="{00000000-000D-0000-FFFF-FFFF00000000}"/>
  </bookViews>
  <sheets>
    <sheet name="Dashboard" sheetId="1" r:id="rId1"/>
    <sheet name="Guide" sheetId="2" r:id="rId2"/>
    <sheet name="Model Checks" sheetId="9" r:id="rId3"/>
    <sheet name="Sources Register" sheetId="11" r:id="rId4"/>
    <sheet name="Scenario Comparison" sheetId="15" r:id="rId5"/>
    <sheet name="Programme &amp; Funding Triggers" sheetId="16" r:id="rId6"/>
    <sheet name="Unit Mix Analytics" sheetId="17" r:id="rId7"/>
    <sheet name="Assumptions" sheetId="3" r:id="rId8"/>
    <sheet name="Sales" sheetId="4" r:id="rId9"/>
    <sheet name="Cashflow" sheetId="5" r:id="rId10"/>
    <sheet name="Returns &amp; Waterfall" sheetId="6" r:id="rId11"/>
    <sheet name="Sensitivity" sheetId="7" r:id="rId12"/>
    <sheet name="Lender &amp; Risk" sheetId="8" r:id="rId13"/>
  </sheets>
  <definedNames>
    <definedName name="_xlnm._FilterDatabase" localSheetId="3" hidden="1">'Sources Register'!$A$6:$L$82</definedName>
    <definedName name="_xlnm.Print_Area" localSheetId="0">Dashboard!$A$1:$M$56</definedName>
    <definedName name="_xlnm.Print_Titles" localSheetId="3">'Sources Register'!$1:$6</definedName>
  </definedNames>
  <calcPr calcId="191029" calcMode="manual" forceFullCalc="1"/>
  <extLst>
    <ext xmlns:loext="http://schemas.libreoffice.org/" uri="{7626C862-2A13-11E5-B345-FEFF819CDC9F}">
      <loext:extCalcPr stringRefSyntax="ExcelA1"/>
    </ext>
  </extLst>
</workbook>
</file>

<file path=xl/calcChain.xml><?xml version="1.0" encoding="utf-8"?>
<calcChain xmlns="http://schemas.openxmlformats.org/spreadsheetml/2006/main">
  <c r="B19" i="17" l="1"/>
  <c r="C16" i="8"/>
  <c r="C15" i="8"/>
  <c r="C14" i="8"/>
  <c r="C13" i="8"/>
  <c r="C12" i="8"/>
  <c r="B44" i="6"/>
  <c r="U40" i="5"/>
  <c r="E40" i="5"/>
  <c r="U39" i="5"/>
  <c r="E39" i="5"/>
  <c r="U38" i="5"/>
  <c r="E38" i="5"/>
  <c r="U37" i="5"/>
  <c r="E37" i="5"/>
  <c r="U36" i="5"/>
  <c r="E36" i="5"/>
  <c r="U35" i="5"/>
  <c r="E35" i="5"/>
  <c r="U34" i="5"/>
  <c r="E34" i="5"/>
  <c r="U33" i="5"/>
  <c r="E33" i="5"/>
  <c r="U32" i="5"/>
  <c r="E32" i="5"/>
  <c r="U31" i="5"/>
  <c r="E31" i="5"/>
  <c r="U30" i="5"/>
  <c r="E30" i="5"/>
  <c r="U29" i="5"/>
  <c r="E29" i="5"/>
  <c r="U28" i="5"/>
  <c r="E28" i="5"/>
  <c r="U27" i="5"/>
  <c r="E27" i="5"/>
  <c r="U26" i="5"/>
  <c r="E26" i="5"/>
  <c r="U25" i="5"/>
  <c r="E25" i="5"/>
  <c r="U24" i="5"/>
  <c r="E24" i="5"/>
  <c r="U23" i="5"/>
  <c r="E23" i="5"/>
  <c r="U22" i="5"/>
  <c r="E22" i="5"/>
  <c r="U21" i="5"/>
  <c r="E21" i="5"/>
  <c r="U20" i="5"/>
  <c r="E20" i="5"/>
  <c r="U19" i="5"/>
  <c r="E19" i="5"/>
  <c r="U18" i="5"/>
  <c r="E18" i="5"/>
  <c r="U17" i="5"/>
  <c r="E17" i="5"/>
  <c r="U16" i="5"/>
  <c r="E16" i="5"/>
  <c r="U15" i="5"/>
  <c r="E15" i="5"/>
  <c r="U14" i="5"/>
  <c r="E14" i="5"/>
  <c r="U13" i="5"/>
  <c r="E13" i="5"/>
  <c r="U12" i="5"/>
  <c r="E12" i="5"/>
  <c r="U11" i="5"/>
  <c r="E11" i="5"/>
  <c r="U10" i="5"/>
  <c r="E10" i="5"/>
  <c r="U9" i="5"/>
  <c r="E9" i="5"/>
  <c r="U8" i="5"/>
  <c r="E8" i="5"/>
  <c r="U7" i="5"/>
  <c r="E7" i="5"/>
  <c r="U6" i="5"/>
  <c r="E6" i="5"/>
  <c r="U5" i="5"/>
  <c r="E5" i="5"/>
  <c r="U4" i="5"/>
  <c r="N4" i="5"/>
  <c r="S34" i="4"/>
  <c r="S33" i="4"/>
  <c r="S32" i="4"/>
  <c r="S31" i="4"/>
  <c r="S30" i="4"/>
  <c r="S29" i="4"/>
  <c r="S28" i="4"/>
  <c r="S27" i="4"/>
  <c r="S26" i="4"/>
  <c r="S25" i="4"/>
  <c r="B17" i="4"/>
  <c r="C8" i="9" s="1"/>
  <c r="E8" i="9" s="1"/>
  <c r="G8" i="9" s="1"/>
  <c r="D10" i="4"/>
  <c r="C10" i="4"/>
  <c r="B10" i="4"/>
  <c r="G53" i="4" s="1"/>
  <c r="A10" i="4"/>
  <c r="D9" i="4"/>
  <c r="C9" i="4"/>
  <c r="B9" i="4"/>
  <c r="F46" i="4" s="1"/>
  <c r="A9" i="4"/>
  <c r="D8" i="4"/>
  <c r="C8" i="4"/>
  <c r="B8" i="4"/>
  <c r="E47" i="4" s="1"/>
  <c r="E59" i="17" s="1"/>
  <c r="A8" i="4"/>
  <c r="D7" i="4"/>
  <c r="C7" i="4"/>
  <c r="B7" i="4"/>
  <c r="D48" i="4" s="1"/>
  <c r="A7" i="4"/>
  <c r="D6" i="4"/>
  <c r="C6" i="4"/>
  <c r="B6" i="4"/>
  <c r="C61" i="4" s="1"/>
  <c r="A6" i="4"/>
  <c r="D5" i="4"/>
  <c r="C5" i="4"/>
  <c r="B5" i="4"/>
  <c r="B30" i="4" s="1"/>
  <c r="A5" i="4"/>
  <c r="B89" i="3"/>
  <c r="B88" i="3"/>
  <c r="B69" i="3"/>
  <c r="T43" i="4" s="1"/>
  <c r="B66" i="3"/>
  <c r="B64" i="3"/>
  <c r="F8" i="6" s="1"/>
  <c r="D42" i="1" s="1"/>
  <c r="B46" i="3"/>
  <c r="D52" i="11" s="1"/>
  <c r="F13" i="3"/>
  <c r="B58" i="3" s="1"/>
  <c r="B12" i="3"/>
  <c r="B54" i="3" s="1"/>
  <c r="AF32" i="16" s="1"/>
  <c r="E11" i="3"/>
  <c r="F11" i="3" s="1"/>
  <c r="H23" i="17" s="1"/>
  <c r="E10" i="3"/>
  <c r="F10" i="3" s="1"/>
  <c r="H22" i="17" s="1"/>
  <c r="E9" i="3"/>
  <c r="E21" i="17" s="1"/>
  <c r="E8" i="3"/>
  <c r="E20" i="17" s="1"/>
  <c r="E7" i="3"/>
  <c r="F7" i="3" s="1"/>
  <c r="H19" i="17" s="1"/>
  <c r="B2" i="3"/>
  <c r="E20" i="3" s="1"/>
  <c r="A61" i="17"/>
  <c r="A60" i="17"/>
  <c r="A59" i="17"/>
  <c r="A58" i="17"/>
  <c r="A57" i="17"/>
  <c r="A56" i="17"/>
  <c r="A55" i="17"/>
  <c r="A54" i="17"/>
  <c r="A53" i="17"/>
  <c r="A52" i="17"/>
  <c r="A51" i="17"/>
  <c r="A50" i="17"/>
  <c r="A49" i="17"/>
  <c r="A48" i="17"/>
  <c r="A47" i="17"/>
  <c r="A46" i="17"/>
  <c r="A45" i="17"/>
  <c r="A44" i="17"/>
  <c r="A43" i="17"/>
  <c r="A42" i="17"/>
  <c r="A41" i="17"/>
  <c r="A40" i="17"/>
  <c r="A39" i="17"/>
  <c r="A38" i="17"/>
  <c r="A37" i="17"/>
  <c r="L23" i="17"/>
  <c r="K23" i="17"/>
  <c r="G23" i="17"/>
  <c r="D23" i="17"/>
  <c r="B23" i="17"/>
  <c r="A23" i="17"/>
  <c r="L22" i="17"/>
  <c r="K22" i="17"/>
  <c r="G22" i="17"/>
  <c r="D22" i="17"/>
  <c r="B22" i="17"/>
  <c r="A22" i="17"/>
  <c r="L21" i="17"/>
  <c r="K21" i="17"/>
  <c r="G21" i="17"/>
  <c r="D21" i="17"/>
  <c r="B21" i="17"/>
  <c r="A21" i="17"/>
  <c r="L20" i="17"/>
  <c r="K20" i="17"/>
  <c r="G20" i="17"/>
  <c r="D20" i="17"/>
  <c r="B20" i="17"/>
  <c r="A20" i="17"/>
  <c r="L19" i="17"/>
  <c r="K19" i="17"/>
  <c r="G19" i="17"/>
  <c r="D19" i="17"/>
  <c r="A19" i="17"/>
  <c r="Y24" i="16"/>
  <c r="D17" i="16"/>
  <c r="D16" i="16"/>
  <c r="U15"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D7" i="16"/>
  <c r="C7" i="16"/>
  <c r="A4" i="16"/>
  <c r="F25" i="15"/>
  <c r="D25" i="15"/>
  <c r="C25" i="15"/>
  <c r="F24" i="15"/>
  <c r="D24" i="15"/>
  <c r="C24" i="15"/>
  <c r="F23" i="15"/>
  <c r="D23" i="15"/>
  <c r="C23" i="15"/>
  <c r="F22" i="15"/>
  <c r="D22" i="15"/>
  <c r="C22" i="15"/>
  <c r="F21" i="15"/>
  <c r="D21" i="15"/>
  <c r="C21" i="15"/>
  <c r="F20" i="15"/>
  <c r="D20" i="15"/>
  <c r="C20" i="15"/>
  <c r="F19" i="15"/>
  <c r="D19" i="15"/>
  <c r="C19" i="15"/>
  <c r="F18" i="15"/>
  <c r="D18" i="15"/>
  <c r="C18" i="15"/>
  <c r="F17" i="15"/>
  <c r="D17" i="15"/>
  <c r="C17" i="15"/>
  <c r="F16" i="15"/>
  <c r="F28" i="15" s="1"/>
  <c r="D16" i="15"/>
  <c r="BE3" i="15" s="1"/>
  <c r="C16" i="15"/>
  <c r="BE2" i="15" s="1"/>
  <c r="F15" i="15"/>
  <c r="F29" i="15" s="1"/>
  <c r="D15" i="15"/>
  <c r="D29" i="15" s="1"/>
  <c r="C15" i="15"/>
  <c r="F14" i="15"/>
  <c r="D14" i="15"/>
  <c r="C14" i="15"/>
  <c r="F13" i="15"/>
  <c r="D13" i="15"/>
  <c r="C13" i="15"/>
  <c r="F10" i="15"/>
  <c r="D10" i="15"/>
  <c r="C10" i="15"/>
  <c r="F9" i="15"/>
  <c r="D9" i="15"/>
  <c r="C9" i="15"/>
  <c r="F8" i="15"/>
  <c r="D8" i="15"/>
  <c r="C8" i="15"/>
  <c r="F7" i="15"/>
  <c r="D7" i="15"/>
  <c r="C7" i="15"/>
  <c r="C3" i="15"/>
  <c r="J82" i="11"/>
  <c r="D82" i="11"/>
  <c r="C82" i="11"/>
  <c r="J81" i="11"/>
  <c r="D81" i="11"/>
  <c r="C81" i="11"/>
  <c r="J80" i="11"/>
  <c r="D80" i="11"/>
  <c r="C80" i="11"/>
  <c r="J79" i="11"/>
  <c r="D79" i="11"/>
  <c r="C79" i="11"/>
  <c r="J78" i="11"/>
  <c r="D78" i="11"/>
  <c r="C78" i="11"/>
  <c r="J77" i="11"/>
  <c r="D77" i="11"/>
  <c r="C77" i="11"/>
  <c r="J76" i="11"/>
  <c r="D76" i="11"/>
  <c r="C76" i="11"/>
  <c r="J75" i="11"/>
  <c r="D75" i="11"/>
  <c r="C75" i="11"/>
  <c r="J74" i="11"/>
  <c r="D74" i="11"/>
  <c r="C74" i="11"/>
  <c r="J73" i="11"/>
  <c r="D73" i="11"/>
  <c r="C73" i="11"/>
  <c r="J72" i="11"/>
  <c r="D72" i="11"/>
  <c r="C72" i="11"/>
  <c r="J71" i="11"/>
  <c r="D71" i="11"/>
  <c r="C71" i="11"/>
  <c r="J70" i="11"/>
  <c r="D70" i="11"/>
  <c r="C70" i="11"/>
  <c r="J69" i="11"/>
  <c r="D69" i="11"/>
  <c r="C69" i="11"/>
  <c r="J68" i="11"/>
  <c r="D68" i="11"/>
  <c r="C68" i="11"/>
  <c r="J67" i="11"/>
  <c r="D67" i="11"/>
  <c r="C67" i="11"/>
  <c r="J66" i="11"/>
  <c r="D66" i="11"/>
  <c r="C66" i="11"/>
  <c r="J65" i="11"/>
  <c r="D65" i="11"/>
  <c r="C65" i="11"/>
  <c r="J64" i="11"/>
  <c r="D64" i="11"/>
  <c r="C64" i="11"/>
  <c r="J63" i="11"/>
  <c r="D63" i="11"/>
  <c r="C63" i="11"/>
  <c r="J62" i="11"/>
  <c r="D62" i="11"/>
  <c r="C62" i="11"/>
  <c r="J61" i="11"/>
  <c r="D61" i="11"/>
  <c r="C61" i="11"/>
  <c r="J60" i="11"/>
  <c r="D60" i="11"/>
  <c r="C60" i="11"/>
  <c r="J59" i="11"/>
  <c r="D59" i="11"/>
  <c r="C59" i="11"/>
  <c r="J58" i="11"/>
  <c r="D58" i="11"/>
  <c r="C58" i="11"/>
  <c r="J57" i="11"/>
  <c r="D57" i="11"/>
  <c r="C57" i="11"/>
  <c r="J56" i="11"/>
  <c r="D56" i="11"/>
  <c r="C56" i="11"/>
  <c r="J55" i="11"/>
  <c r="D55" i="11"/>
  <c r="C55" i="11"/>
  <c r="J54" i="11"/>
  <c r="D54" i="11"/>
  <c r="C54" i="11"/>
  <c r="J53" i="11"/>
  <c r="D53" i="11"/>
  <c r="C53" i="11"/>
  <c r="J52" i="11"/>
  <c r="C52" i="11"/>
  <c r="J51" i="11"/>
  <c r="D51" i="11"/>
  <c r="C51" i="11"/>
  <c r="J50" i="11"/>
  <c r="D50" i="11"/>
  <c r="C50" i="11"/>
  <c r="J49" i="11"/>
  <c r="D49" i="11"/>
  <c r="C49" i="11"/>
  <c r="J48" i="11"/>
  <c r="D48" i="11"/>
  <c r="C48" i="11"/>
  <c r="J47" i="11"/>
  <c r="D47" i="11"/>
  <c r="C47" i="11"/>
  <c r="J46" i="11"/>
  <c r="D46" i="11"/>
  <c r="C46" i="11"/>
  <c r="J45" i="11"/>
  <c r="D45" i="11"/>
  <c r="C45" i="11"/>
  <c r="J44" i="11"/>
  <c r="D44" i="11"/>
  <c r="C44" i="11"/>
  <c r="J43" i="11"/>
  <c r="D43" i="11"/>
  <c r="C43" i="11"/>
  <c r="J42" i="11"/>
  <c r="D42" i="11"/>
  <c r="C42" i="11"/>
  <c r="J41" i="11"/>
  <c r="D41" i="11"/>
  <c r="C41" i="11"/>
  <c r="J40" i="11"/>
  <c r="D40" i="11"/>
  <c r="C40" i="11"/>
  <c r="J39" i="11"/>
  <c r="D39" i="11"/>
  <c r="C39" i="11"/>
  <c r="J38" i="11"/>
  <c r="C38" i="11"/>
  <c r="J37" i="11"/>
  <c r="D37" i="11"/>
  <c r="C37" i="11"/>
  <c r="J36" i="11"/>
  <c r="D36" i="11"/>
  <c r="C36" i="11"/>
  <c r="J35" i="11"/>
  <c r="D35" i="11"/>
  <c r="C35" i="11"/>
  <c r="J34" i="11"/>
  <c r="D34" i="11"/>
  <c r="C34" i="11"/>
  <c r="J33" i="11"/>
  <c r="D33" i="11"/>
  <c r="C33" i="11"/>
  <c r="J32" i="11"/>
  <c r="D32" i="11"/>
  <c r="C32" i="11"/>
  <c r="J31" i="11"/>
  <c r="D31" i="11"/>
  <c r="C31" i="11"/>
  <c r="J30" i="11"/>
  <c r="D30" i="11"/>
  <c r="C30" i="11"/>
  <c r="J29" i="11"/>
  <c r="D29" i="11"/>
  <c r="C29" i="11"/>
  <c r="J28" i="11"/>
  <c r="D28" i="11"/>
  <c r="C28" i="11"/>
  <c r="J27" i="11"/>
  <c r="D27" i="11"/>
  <c r="C27" i="11"/>
  <c r="J26" i="11"/>
  <c r="D26" i="11"/>
  <c r="C26" i="11"/>
  <c r="J25" i="11"/>
  <c r="D25" i="11"/>
  <c r="C25" i="11"/>
  <c r="J24" i="11"/>
  <c r="D24" i="11"/>
  <c r="C24" i="11"/>
  <c r="J23" i="11"/>
  <c r="D23" i="11"/>
  <c r="C23" i="11"/>
  <c r="J22" i="11"/>
  <c r="D22" i="11"/>
  <c r="C22" i="11"/>
  <c r="J21" i="11"/>
  <c r="D21" i="11"/>
  <c r="C21" i="11"/>
  <c r="J20" i="11"/>
  <c r="D20" i="11"/>
  <c r="C20" i="11"/>
  <c r="J19" i="11"/>
  <c r="D19" i="11"/>
  <c r="C19" i="11"/>
  <c r="J18" i="11"/>
  <c r="D18" i="11"/>
  <c r="C18" i="11"/>
  <c r="J17" i="11"/>
  <c r="D17" i="11"/>
  <c r="C17" i="11"/>
  <c r="J16" i="11"/>
  <c r="D16" i="11"/>
  <c r="C16" i="11"/>
  <c r="J15" i="11"/>
  <c r="D15" i="11"/>
  <c r="C15" i="11"/>
  <c r="J14" i="11"/>
  <c r="D14" i="11"/>
  <c r="C14" i="11"/>
  <c r="J13" i="11"/>
  <c r="D13" i="11"/>
  <c r="C13" i="11"/>
  <c r="J12" i="11"/>
  <c r="D12" i="11"/>
  <c r="C12" i="11"/>
  <c r="J11" i="11"/>
  <c r="D11" i="11"/>
  <c r="C11" i="11"/>
  <c r="J10" i="11"/>
  <c r="D10" i="11"/>
  <c r="C10" i="11"/>
  <c r="J9" i="11"/>
  <c r="D9" i="11"/>
  <c r="C9" i="11"/>
  <c r="J8" i="11"/>
  <c r="D8" i="11"/>
  <c r="C8" i="11"/>
  <c r="J7" i="11"/>
  <c r="C7" i="11"/>
  <c r="C46" i="4" l="1"/>
  <c r="C58" i="17" s="1"/>
  <c r="C25" i="4"/>
  <c r="C37" i="17" s="1"/>
  <c r="C44" i="4"/>
  <c r="C56" i="17" s="1"/>
  <c r="C18" i="9"/>
  <c r="E18" i="9" s="1"/>
  <c r="G18" i="9" s="1"/>
  <c r="I32" i="16"/>
  <c r="V32" i="16"/>
  <c r="D10" i="9"/>
  <c r="E13" i="15"/>
  <c r="E25" i="15"/>
  <c r="R8" i="16"/>
  <c r="E8" i="15"/>
  <c r="E14" i="15"/>
  <c r="G14" i="15"/>
  <c r="C30" i="4"/>
  <c r="C42" i="17" s="1"/>
  <c r="F30" i="4"/>
  <c r="F42" i="17" s="1"/>
  <c r="Y15" i="16"/>
  <c r="BE4" i="15"/>
  <c r="E10" i="15"/>
  <c r="E23" i="17"/>
  <c r="F47" i="4"/>
  <c r="F59" i="17" s="1"/>
  <c r="C48" i="4"/>
  <c r="C60" i="17" s="1"/>
  <c r="E17" i="15"/>
  <c r="W32" i="16"/>
  <c r="E22" i="17"/>
  <c r="D28" i="15"/>
  <c r="D30" i="15" s="1"/>
  <c r="AH32" i="16"/>
  <c r="AI32" i="16"/>
  <c r="E19" i="15"/>
  <c r="S8" i="16"/>
  <c r="BB4" i="15"/>
  <c r="D7" i="11"/>
  <c r="K24" i="17"/>
  <c r="C6" i="9"/>
  <c r="E6" i="9" s="1"/>
  <c r="G6" i="9" s="1"/>
  <c r="C3" i="11"/>
  <c r="G19" i="15"/>
  <c r="F35" i="4"/>
  <c r="F47" i="17" s="1"/>
  <c r="E21" i="15"/>
  <c r="M20" i="17"/>
  <c r="N20" i="17" s="1"/>
  <c r="F36" i="4"/>
  <c r="F48" i="17" s="1"/>
  <c r="E18" i="3"/>
  <c r="F28" i="4"/>
  <c r="F40" i="17" s="1"/>
  <c r="C39" i="4"/>
  <c r="C51" i="17" s="1"/>
  <c r="G28" i="4"/>
  <c r="G18" i="15"/>
  <c r="T8" i="16"/>
  <c r="X32" i="16"/>
  <c r="M19" i="17"/>
  <c r="N19" i="17" s="1"/>
  <c r="G23" i="15"/>
  <c r="D8" i="16"/>
  <c r="U8" i="16"/>
  <c r="Y32" i="16"/>
  <c r="G35" i="4"/>
  <c r="E8" i="16"/>
  <c r="Y8" i="16"/>
  <c r="D22" i="16"/>
  <c r="AG32" i="16"/>
  <c r="AC8" i="16"/>
  <c r="G25" i="4"/>
  <c r="G8" i="16"/>
  <c r="E7" i="15"/>
  <c r="G16" i="15"/>
  <c r="H8" i="16"/>
  <c r="AD8" i="16"/>
  <c r="J32" i="16"/>
  <c r="AJ32" i="16"/>
  <c r="D39" i="4"/>
  <c r="D51" i="17" s="1"/>
  <c r="D30" i="4"/>
  <c r="D42" i="17" s="1"/>
  <c r="G20" i="15"/>
  <c r="G24" i="15"/>
  <c r="I8" i="16"/>
  <c r="AE8" i="16"/>
  <c r="K32" i="16"/>
  <c r="AK32" i="16"/>
  <c r="T25" i="4"/>
  <c r="J4" i="5" s="1"/>
  <c r="F39" i="4"/>
  <c r="F51" i="17" s="1"/>
  <c r="G36" i="4"/>
  <c r="M8" i="16"/>
  <c r="AF8" i="16"/>
  <c r="L32" i="16"/>
  <c r="M22" i="17"/>
  <c r="N22" i="17" s="1"/>
  <c r="E19" i="3"/>
  <c r="B70" i="3" s="1"/>
  <c r="O4" i="5" s="1"/>
  <c r="G32" i="4"/>
  <c r="T39" i="4"/>
  <c r="F8" i="16"/>
  <c r="P8" i="16"/>
  <c r="AG8" i="16"/>
  <c r="M32" i="16"/>
  <c r="B3" i="3"/>
  <c r="J3" i="1" s="1"/>
  <c r="G27" i="4"/>
  <c r="G40" i="4"/>
  <c r="AB8" i="16"/>
  <c r="G17" i="15"/>
  <c r="Q8" i="16"/>
  <c r="AK8" i="16"/>
  <c r="U32" i="16"/>
  <c r="M23" i="17"/>
  <c r="N23" i="17" s="1"/>
  <c r="G33" i="4"/>
  <c r="F43" i="4"/>
  <c r="F55" i="17" s="1"/>
  <c r="F30" i="15"/>
  <c r="G9" i="15"/>
  <c r="E24" i="15"/>
  <c r="B31" i="17"/>
  <c r="D31" i="17" s="1"/>
  <c r="E43" i="4"/>
  <c r="E55" i="17" s="1"/>
  <c r="C55" i="4"/>
  <c r="E56" i="4"/>
  <c r="E12" i="3"/>
  <c r="B7" i="17" s="1"/>
  <c r="E17" i="3"/>
  <c r="M47" i="4" s="1"/>
  <c r="B33" i="4"/>
  <c r="T35" i="4"/>
  <c r="G43" i="4"/>
  <c r="F48" i="4"/>
  <c r="F60" i="17" s="1"/>
  <c r="C59" i="4"/>
  <c r="B50" i="4"/>
  <c r="U2" i="5"/>
  <c r="G15" i="15"/>
  <c r="N32" i="16"/>
  <c r="Z32" i="16"/>
  <c r="AL32" i="16"/>
  <c r="F8" i="3"/>
  <c r="H20" i="17" s="1"/>
  <c r="C26" i="4"/>
  <c r="C31" i="4"/>
  <c r="C43" i="17" s="1"/>
  <c r="B34" i="4"/>
  <c r="B46" i="17" s="1"/>
  <c r="T36" i="4"/>
  <c r="B41" i="4"/>
  <c r="B53" i="17" s="1"/>
  <c r="C45" i="4"/>
  <c r="C57" i="17" s="1"/>
  <c r="C50" i="4"/>
  <c r="E18" i="15"/>
  <c r="J8" i="16"/>
  <c r="V8" i="16"/>
  <c r="AH8" i="16"/>
  <c r="C32" i="16"/>
  <c r="O32" i="16"/>
  <c r="AA32" i="16"/>
  <c r="AM32" i="16"/>
  <c r="D26" i="4"/>
  <c r="D38" i="17" s="1"/>
  <c r="B29" i="4"/>
  <c r="B41" i="17" s="1"/>
  <c r="D31" i="4"/>
  <c r="D43" i="17" s="1"/>
  <c r="C34" i="4"/>
  <c r="C37" i="4"/>
  <c r="C49" i="17" s="1"/>
  <c r="C41" i="4"/>
  <c r="C53" i="17" s="1"/>
  <c r="F45" i="4"/>
  <c r="E50" i="4"/>
  <c r="C7" i="9"/>
  <c r="G7" i="15"/>
  <c r="E22" i="15"/>
  <c r="K8" i="16"/>
  <c r="W8" i="16"/>
  <c r="AI8" i="16"/>
  <c r="D32" i="16"/>
  <c r="P32" i="16"/>
  <c r="AB32" i="16"/>
  <c r="B6" i="17"/>
  <c r="C21" i="17" s="1"/>
  <c r="F9" i="3"/>
  <c r="H21" i="17" s="1"/>
  <c r="F26" i="4"/>
  <c r="C29" i="4"/>
  <c r="C41" i="17" s="1"/>
  <c r="F31" i="4"/>
  <c r="F43" i="17" s="1"/>
  <c r="D34" i="4"/>
  <c r="F37" i="4"/>
  <c r="F41" i="4"/>
  <c r="F53" i="17" s="1"/>
  <c r="T45" i="4"/>
  <c r="C51" i="4"/>
  <c r="G10" i="15"/>
  <c r="G21" i="15"/>
  <c r="G22" i="15"/>
  <c r="L8" i="16"/>
  <c r="X8" i="16"/>
  <c r="AJ8" i="16"/>
  <c r="E32" i="16"/>
  <c r="Q32" i="16"/>
  <c r="AC32" i="16"/>
  <c r="G29" i="4"/>
  <c r="G31" i="4"/>
  <c r="G41" i="4"/>
  <c r="B46" i="4"/>
  <c r="B58" i="17" s="1"/>
  <c r="F51" i="4"/>
  <c r="F32" i="16"/>
  <c r="R32" i="16"/>
  <c r="AD32" i="16"/>
  <c r="B35" i="4"/>
  <c r="B47" i="17" s="1"/>
  <c r="T37" i="4"/>
  <c r="T41" i="4"/>
  <c r="D52" i="4"/>
  <c r="N8" i="16"/>
  <c r="Z8" i="16"/>
  <c r="AL8" i="16"/>
  <c r="G32" i="16"/>
  <c r="S32" i="16"/>
  <c r="AE32" i="16"/>
  <c r="C27" i="4"/>
  <c r="C39" i="17" s="1"/>
  <c r="T29" i="4"/>
  <c r="J8" i="5" s="1"/>
  <c r="T31" i="4"/>
  <c r="J10" i="5" s="1"/>
  <c r="C35" i="4"/>
  <c r="C47" i="17" s="1"/>
  <c r="F38" i="4"/>
  <c r="C43" i="4"/>
  <c r="C55" i="17" s="1"/>
  <c r="D47" i="4"/>
  <c r="F52" i="4"/>
  <c r="G8" i="15"/>
  <c r="C8" i="16"/>
  <c r="O8" i="16"/>
  <c r="AA8" i="16"/>
  <c r="AM8" i="16"/>
  <c r="H32" i="16"/>
  <c r="T32" i="16"/>
  <c r="F27" i="4"/>
  <c r="F32" i="4"/>
  <c r="F44" i="17" s="1"/>
  <c r="D35" i="4"/>
  <c r="D47" i="17" s="1"/>
  <c r="D43" i="4"/>
  <c r="D55" i="17" s="1"/>
  <c r="C54" i="4"/>
  <c r="C28" i="15"/>
  <c r="E16" i="15"/>
  <c r="G13" i="15"/>
  <c r="BB3" i="15"/>
  <c r="E9" i="15"/>
  <c r="G25" i="15"/>
  <c r="E3" i="11"/>
  <c r="G3" i="11" s="1"/>
  <c r="D60" i="17"/>
  <c r="E15" i="15"/>
  <c r="BB2" i="15"/>
  <c r="C29" i="15"/>
  <c r="E20" i="15"/>
  <c r="E23" i="15"/>
  <c r="B61" i="4"/>
  <c r="B56" i="4"/>
  <c r="B52" i="4"/>
  <c r="B48" i="4"/>
  <c r="B44" i="4"/>
  <c r="B40" i="4"/>
  <c r="B36" i="4"/>
  <c r="B57" i="4"/>
  <c r="B53" i="4"/>
  <c r="B49" i="4"/>
  <c r="B47" i="4"/>
  <c r="B32" i="4"/>
  <c r="B28" i="4"/>
  <c r="B38" i="4"/>
  <c r="B42" i="4"/>
  <c r="B58" i="4"/>
  <c r="B54" i="4"/>
  <c r="E59" i="4"/>
  <c r="E57" i="4"/>
  <c r="E53" i="4"/>
  <c r="E49" i="4"/>
  <c r="E45" i="4"/>
  <c r="E41" i="4"/>
  <c r="E37" i="4"/>
  <c r="E58" i="4"/>
  <c r="E54" i="4"/>
  <c r="E36" i="4"/>
  <c r="E42" i="4"/>
  <c r="E40" i="4"/>
  <c r="E33" i="4"/>
  <c r="E29" i="4"/>
  <c r="E25" i="4"/>
  <c r="E46" i="4"/>
  <c r="E44" i="4"/>
  <c r="E55" i="4"/>
  <c r="E52" i="4"/>
  <c r="E51" i="4"/>
  <c r="B25" i="4"/>
  <c r="B59" i="4"/>
  <c r="B13" i="17"/>
  <c r="M21" i="17"/>
  <c r="N21" i="17" s="1"/>
  <c r="B24" i="17"/>
  <c r="D24" i="17" s="1"/>
  <c r="C13" i="17"/>
  <c r="B26" i="4"/>
  <c r="E34" i="4"/>
  <c r="B39" i="4"/>
  <c r="B14" i="17"/>
  <c r="B42" i="17"/>
  <c r="B45" i="4"/>
  <c r="C14" i="17"/>
  <c r="E30" i="4"/>
  <c r="B31" i="4"/>
  <c r="E35" i="4"/>
  <c r="B37" i="4"/>
  <c r="E38" i="4"/>
  <c r="G49" i="4"/>
  <c r="B55" i="4"/>
  <c r="B60" i="4"/>
  <c r="E26" i="4"/>
  <c r="B27" i="4"/>
  <c r="E39" i="4"/>
  <c r="E60" i="4"/>
  <c r="B51" i="4"/>
  <c r="D55" i="4"/>
  <c r="E61" i="4"/>
  <c r="F58" i="17"/>
  <c r="T42" i="4"/>
  <c r="T38" i="4"/>
  <c r="T40" i="4"/>
  <c r="T34" i="4"/>
  <c r="J13" i="5" s="1"/>
  <c r="T30" i="4"/>
  <c r="J9" i="5" s="1"/>
  <c r="T26" i="4"/>
  <c r="J5" i="5" s="1"/>
  <c r="T44" i="4"/>
  <c r="D27" i="4"/>
  <c r="T27" i="4"/>
  <c r="J6" i="5" s="1"/>
  <c r="E31" i="4"/>
  <c r="D32" i="4"/>
  <c r="T32" i="4"/>
  <c r="J11" i="5" s="1"/>
  <c r="G37" i="4"/>
  <c r="G39" i="4"/>
  <c r="B26" i="6"/>
  <c r="AY1" i="15" s="1"/>
  <c r="D57" i="4"/>
  <c r="D53" i="4"/>
  <c r="D49" i="4"/>
  <c r="D45" i="4"/>
  <c r="D41" i="4"/>
  <c r="D37" i="4"/>
  <c r="D61" i="4"/>
  <c r="D38" i="4"/>
  <c r="D36" i="4"/>
  <c r="D42" i="4"/>
  <c r="D40" i="4"/>
  <c r="D33" i="4"/>
  <c r="D29" i="4"/>
  <c r="D25" i="4"/>
  <c r="D58" i="4"/>
  <c r="D54" i="4"/>
  <c r="D46" i="4"/>
  <c r="D44" i="4"/>
  <c r="D59" i="4"/>
  <c r="D56" i="4"/>
  <c r="D60" i="4"/>
  <c r="D50" i="4"/>
  <c r="G58" i="4"/>
  <c r="G54" i="4"/>
  <c r="G50" i="4"/>
  <c r="G46" i="4"/>
  <c r="G42" i="4"/>
  <c r="G38" i="4"/>
  <c r="G61" i="4"/>
  <c r="G60" i="4"/>
  <c r="G44" i="4"/>
  <c r="G55" i="4"/>
  <c r="G34" i="4"/>
  <c r="G30" i="4"/>
  <c r="G26" i="4"/>
  <c r="G56" i="4"/>
  <c r="G48" i="4"/>
  <c r="G59" i="4"/>
  <c r="G57" i="4"/>
  <c r="G52" i="4"/>
  <c r="G51" i="4"/>
  <c r="G47" i="4"/>
  <c r="G45" i="4"/>
  <c r="E27" i="4"/>
  <c r="D28" i="4"/>
  <c r="T28" i="4"/>
  <c r="J7" i="5" s="1"/>
  <c r="E32" i="4"/>
  <c r="T33" i="4"/>
  <c r="J12" i="5" s="1"/>
  <c r="B43" i="4"/>
  <c r="E48" i="4"/>
  <c r="D51" i="4"/>
  <c r="E19" i="17"/>
  <c r="E28" i="4"/>
  <c r="F60" i="4"/>
  <c r="F56" i="4"/>
  <c r="C58" i="4"/>
  <c r="C33" i="4"/>
  <c r="F34" i="4"/>
  <c r="C40" i="4"/>
  <c r="C42" i="4"/>
  <c r="F55" i="4"/>
  <c r="C36" i="4"/>
  <c r="F44" i="4"/>
  <c r="C38" i="4"/>
  <c r="E4" i="5"/>
  <c r="E41" i="5" s="1"/>
  <c r="F4" i="6"/>
  <c r="C60" i="4"/>
  <c r="C56" i="4"/>
  <c r="C52" i="4"/>
  <c r="C57" i="4"/>
  <c r="C53" i="4"/>
  <c r="F59" i="4"/>
  <c r="F61" i="4"/>
  <c r="F57" i="4"/>
  <c r="F53" i="4"/>
  <c r="F49" i="4"/>
  <c r="F58" i="4"/>
  <c r="F54" i="4"/>
  <c r="F50" i="4"/>
  <c r="F25" i="4"/>
  <c r="C28" i="4"/>
  <c r="F29" i="4"/>
  <c r="C32" i="4"/>
  <c r="F33" i="4"/>
  <c r="F40" i="4"/>
  <c r="F42" i="4"/>
  <c r="C47" i="4"/>
  <c r="C49" i="4"/>
  <c r="O30" i="4" l="1"/>
  <c r="L50" i="4"/>
  <c r="F22" i="17"/>
  <c r="O37" i="4"/>
  <c r="L39" i="4"/>
  <c r="O34" i="4"/>
  <c r="L60" i="4"/>
  <c r="M60" i="4"/>
  <c r="M53" i="4"/>
  <c r="J33" i="4"/>
  <c r="N55" i="4"/>
  <c r="M56" i="4"/>
  <c r="K53" i="4"/>
  <c r="K57" i="4"/>
  <c r="O39" i="4"/>
  <c r="O31" i="4"/>
  <c r="K51" i="4"/>
  <c r="H30" i="4"/>
  <c r="G9" i="5" s="1"/>
  <c r="H46" i="4"/>
  <c r="G58" i="17" s="1"/>
  <c r="B24" i="3"/>
  <c r="D38" i="11" s="1"/>
  <c r="K45" i="4"/>
  <c r="O33" i="4"/>
  <c r="L43" i="4"/>
  <c r="O40" i="4"/>
  <c r="K39" i="4"/>
  <c r="N51" i="4"/>
  <c r="O41" i="4"/>
  <c r="O29" i="4"/>
  <c r="O27" i="4"/>
  <c r="O36" i="4"/>
  <c r="O35" i="4"/>
  <c r="L48" i="4"/>
  <c r="L52" i="4"/>
  <c r="K50" i="4"/>
  <c r="N28" i="4"/>
  <c r="O44" i="4"/>
  <c r="M59" i="4"/>
  <c r="N50" i="4"/>
  <c r="K60" i="4"/>
  <c r="O47" i="4"/>
  <c r="O60" i="4"/>
  <c r="L55" i="4"/>
  <c r="N36" i="4"/>
  <c r="K54" i="4"/>
  <c r="L30" i="4"/>
  <c r="N32" i="4"/>
  <c r="B45" i="17"/>
  <c r="L61" i="4"/>
  <c r="N54" i="4"/>
  <c r="O28" i="4"/>
  <c r="J34" i="4"/>
  <c r="O32" i="4"/>
  <c r="L59" i="4"/>
  <c r="K31" i="4"/>
  <c r="J46" i="4"/>
  <c r="N56" i="4"/>
  <c r="O52" i="4"/>
  <c r="O38" i="4"/>
  <c r="L54" i="4"/>
  <c r="N41" i="4"/>
  <c r="N52" i="4"/>
  <c r="N31" i="4"/>
  <c r="O53" i="4"/>
  <c r="N47" i="4"/>
  <c r="K43" i="4"/>
  <c r="M61" i="4"/>
  <c r="K58" i="4"/>
  <c r="O42" i="4"/>
  <c r="L58" i="4"/>
  <c r="J50" i="4"/>
  <c r="O43" i="4"/>
  <c r="M54" i="4"/>
  <c r="L26" i="4"/>
  <c r="O55" i="4"/>
  <c r="K56" i="4"/>
  <c r="O61" i="4"/>
  <c r="N43" i="4"/>
  <c r="N53" i="4"/>
  <c r="L53" i="4"/>
  <c r="L31" i="4"/>
  <c r="J29" i="4"/>
  <c r="J41" i="4"/>
  <c r="M51" i="4"/>
  <c r="M58" i="4"/>
  <c r="K26" i="4"/>
  <c r="N35" i="4"/>
  <c r="K52" i="4"/>
  <c r="N58" i="4"/>
  <c r="O57" i="4"/>
  <c r="O46" i="4"/>
  <c r="N57" i="4"/>
  <c r="K59" i="4"/>
  <c r="O48" i="4"/>
  <c r="O50" i="4"/>
  <c r="L57" i="4"/>
  <c r="J30" i="4"/>
  <c r="N46" i="4"/>
  <c r="J35" i="4"/>
  <c r="M52" i="4"/>
  <c r="K25" i="4"/>
  <c r="H24" i="17"/>
  <c r="K30" i="4"/>
  <c r="H41" i="4"/>
  <c r="G20" i="5" s="1"/>
  <c r="L56" i="4"/>
  <c r="K37" i="4"/>
  <c r="O51" i="4"/>
  <c r="L51" i="4"/>
  <c r="N60" i="4"/>
  <c r="N61" i="4"/>
  <c r="K55" i="4"/>
  <c r="O56" i="4"/>
  <c r="O54" i="4"/>
  <c r="K27" i="4"/>
  <c r="K61" i="4"/>
  <c r="M55" i="4"/>
  <c r="B55" i="3"/>
  <c r="B59" i="6" s="1"/>
  <c r="B60" i="6" s="1"/>
  <c r="B61" i="6" s="1"/>
  <c r="M50" i="4"/>
  <c r="N39" i="4"/>
  <c r="M57" i="4"/>
  <c r="O45" i="4"/>
  <c r="N48" i="4"/>
  <c r="O59" i="4"/>
  <c r="N59" i="4"/>
  <c r="O26" i="4"/>
  <c r="O58" i="4"/>
  <c r="O49" i="4"/>
  <c r="O25" i="4"/>
  <c r="N45" i="4"/>
  <c r="F57" i="17"/>
  <c r="F12" i="3"/>
  <c r="B57" i="3" s="1"/>
  <c r="L47" i="4"/>
  <c r="D59" i="17"/>
  <c r="K35" i="4"/>
  <c r="H34" i="4"/>
  <c r="G46" i="17" s="1"/>
  <c r="F39" i="17"/>
  <c r="N27" i="4"/>
  <c r="N38" i="4"/>
  <c r="F50" i="17"/>
  <c r="C20" i="17"/>
  <c r="L35" i="4"/>
  <c r="M43" i="4"/>
  <c r="M24" i="17"/>
  <c r="N24" i="17"/>
  <c r="K34" i="4"/>
  <c r="C46" i="17"/>
  <c r="C23" i="17"/>
  <c r="H35" i="4"/>
  <c r="G47" i="17" s="1"/>
  <c r="B32" i="17"/>
  <c r="D32" i="17" s="1"/>
  <c r="F49" i="17"/>
  <c r="N37" i="4"/>
  <c r="C19" i="17"/>
  <c r="L34" i="4"/>
  <c r="D46" i="17"/>
  <c r="K46" i="4"/>
  <c r="N30" i="4"/>
  <c r="K48" i="4"/>
  <c r="K29" i="4"/>
  <c r="C38" i="17"/>
  <c r="K41" i="4"/>
  <c r="N26" i="4"/>
  <c r="F38" i="17"/>
  <c r="C22" i="17"/>
  <c r="K44" i="4"/>
  <c r="C44" i="17"/>
  <c r="K32" i="4"/>
  <c r="L38" i="4"/>
  <c r="D50" i="17"/>
  <c r="E50" i="17"/>
  <c r="M38" i="4"/>
  <c r="H26" i="4"/>
  <c r="J26" i="4"/>
  <c r="B38" i="17"/>
  <c r="E48" i="17"/>
  <c r="M36" i="4"/>
  <c r="H42" i="4"/>
  <c r="B54" i="17"/>
  <c r="J42" i="4"/>
  <c r="J52" i="4"/>
  <c r="H52" i="4"/>
  <c r="G31" i="5" s="1"/>
  <c r="F21" i="17"/>
  <c r="H54" i="4"/>
  <c r="G33" i="5" s="1"/>
  <c r="J54" i="4"/>
  <c r="N25" i="4"/>
  <c r="F37" i="17"/>
  <c r="N34" i="4"/>
  <c r="F46" i="17"/>
  <c r="J37" i="4"/>
  <c r="H37" i="4"/>
  <c r="B49" i="17"/>
  <c r="J25" i="4"/>
  <c r="H25" i="4"/>
  <c r="B37" i="17"/>
  <c r="H38" i="4"/>
  <c r="J38" i="4"/>
  <c r="B50" i="17"/>
  <c r="J56" i="4"/>
  <c r="H56" i="4"/>
  <c r="G35" i="5" s="1"/>
  <c r="F20" i="17"/>
  <c r="M33" i="4"/>
  <c r="E45" i="17"/>
  <c r="L28" i="4"/>
  <c r="D40" i="17"/>
  <c r="C52" i="17"/>
  <c r="K40" i="4"/>
  <c r="E39" i="17"/>
  <c r="M27" i="4"/>
  <c r="D38" i="1"/>
  <c r="K33" i="4"/>
  <c r="C45" i="17"/>
  <c r="L44" i="4"/>
  <c r="D56" i="17"/>
  <c r="L37" i="4"/>
  <c r="D49" i="17"/>
  <c r="J28" i="4"/>
  <c r="H28" i="4"/>
  <c r="B40" i="17"/>
  <c r="J61" i="4"/>
  <c r="H61" i="4"/>
  <c r="G40" i="5" s="1"/>
  <c r="N29" i="4"/>
  <c r="F41" i="17"/>
  <c r="L42" i="4"/>
  <c r="D54" i="17"/>
  <c r="J45" i="4"/>
  <c r="B57" i="17"/>
  <c r="H45" i="4"/>
  <c r="H44" i="4"/>
  <c r="B56" i="17"/>
  <c r="J44" i="4"/>
  <c r="K28" i="4"/>
  <c r="C40" i="17"/>
  <c r="H29" i="4"/>
  <c r="H33" i="4"/>
  <c r="E40" i="17"/>
  <c r="M28" i="4"/>
  <c r="D58" i="17"/>
  <c r="L46" i="4"/>
  <c r="L41" i="4"/>
  <c r="D53" i="17"/>
  <c r="L32" i="4"/>
  <c r="D44" i="17"/>
  <c r="B39" i="17"/>
  <c r="J27" i="4"/>
  <c r="H27" i="4"/>
  <c r="M35" i="4"/>
  <c r="E47" i="17"/>
  <c r="M37" i="4"/>
  <c r="E49" i="17"/>
  <c r="B44" i="17"/>
  <c r="J32" i="4"/>
  <c r="H32" i="4"/>
  <c r="F23" i="17"/>
  <c r="E44" i="17"/>
  <c r="M32" i="4"/>
  <c r="M42" i="4"/>
  <c r="E54" i="17"/>
  <c r="K49" i="4"/>
  <c r="C61" i="17"/>
  <c r="K38" i="4"/>
  <c r="C50" i="17"/>
  <c r="E43" i="17"/>
  <c r="M31" i="4"/>
  <c r="E38" i="17"/>
  <c r="M26" i="4"/>
  <c r="M41" i="4"/>
  <c r="E53" i="17"/>
  <c r="J47" i="4"/>
  <c r="B59" i="17"/>
  <c r="H47" i="4"/>
  <c r="H50" i="4"/>
  <c r="G29" i="5" s="1"/>
  <c r="D48" i="17"/>
  <c r="L36" i="4"/>
  <c r="M39" i="4"/>
  <c r="E51" i="17"/>
  <c r="J48" i="4"/>
  <c r="H48" i="4"/>
  <c r="B60" i="17"/>
  <c r="F61" i="17"/>
  <c r="N49" i="4"/>
  <c r="E24" i="17"/>
  <c r="G24" i="17" s="1"/>
  <c r="F19" i="17"/>
  <c r="B43" i="17"/>
  <c r="J31" i="4"/>
  <c r="H31" i="4"/>
  <c r="K47" i="4"/>
  <c r="C59" i="17"/>
  <c r="N44" i="4"/>
  <c r="F56" i="17"/>
  <c r="L49" i="4"/>
  <c r="D61" i="17"/>
  <c r="M30" i="4"/>
  <c r="E42" i="17"/>
  <c r="M44" i="4"/>
  <c r="E56" i="17"/>
  <c r="M45" i="4"/>
  <c r="E57" i="17"/>
  <c r="J49" i="4"/>
  <c r="H49" i="4"/>
  <c r="B61" i="17"/>
  <c r="L40" i="4"/>
  <c r="D52" i="17"/>
  <c r="M40" i="4"/>
  <c r="E52" i="17"/>
  <c r="H58" i="4"/>
  <c r="G37" i="5" s="1"/>
  <c r="J58" i="4"/>
  <c r="L45" i="4"/>
  <c r="D57" i="17"/>
  <c r="N42" i="4"/>
  <c r="F54" i="17"/>
  <c r="C48" i="17"/>
  <c r="K36" i="4"/>
  <c r="M48" i="4"/>
  <c r="E60" i="17"/>
  <c r="L25" i="4"/>
  <c r="D37" i="17"/>
  <c r="E58" i="17"/>
  <c r="M46" i="4"/>
  <c r="M49" i="4"/>
  <c r="E61" i="17"/>
  <c r="J53" i="4"/>
  <c r="H53" i="4"/>
  <c r="G32" i="5" s="1"/>
  <c r="M34" i="4"/>
  <c r="E46" i="17"/>
  <c r="N40" i="4"/>
  <c r="F52" i="17"/>
  <c r="L27" i="4"/>
  <c r="D39" i="17"/>
  <c r="M25" i="4"/>
  <c r="E37" i="17"/>
  <c r="J57" i="4"/>
  <c r="H57" i="4"/>
  <c r="G36" i="5" s="1"/>
  <c r="J51" i="4"/>
  <c r="H51" i="4"/>
  <c r="G30" i="5" s="1"/>
  <c r="J40" i="4"/>
  <c r="B52" i="17"/>
  <c r="H40" i="4"/>
  <c r="K42" i="4"/>
  <c r="C54" i="17"/>
  <c r="J43" i="4"/>
  <c r="B55" i="17"/>
  <c r="H43" i="4"/>
  <c r="D41" i="17"/>
  <c r="L29" i="4"/>
  <c r="J60" i="4"/>
  <c r="H60" i="4"/>
  <c r="G39" i="5" s="1"/>
  <c r="F45" i="17"/>
  <c r="N33" i="4"/>
  <c r="L33" i="4"/>
  <c r="D45" i="17"/>
  <c r="J55" i="4"/>
  <c r="H55" i="4"/>
  <c r="G34" i="5" s="1"/>
  <c r="J39" i="4"/>
  <c r="B51" i="17"/>
  <c r="H39" i="4"/>
  <c r="J59" i="4"/>
  <c r="H59" i="4"/>
  <c r="G38" i="5" s="1"/>
  <c r="M29" i="4"/>
  <c r="E41" i="17"/>
  <c r="J36" i="4"/>
  <c r="H36" i="4"/>
  <c r="B48" i="17"/>
  <c r="C30" i="15"/>
  <c r="G42" i="17" l="1"/>
  <c r="G25" i="5"/>
  <c r="B56" i="3"/>
  <c r="B61" i="3" s="1"/>
  <c r="B10" i="5" s="1"/>
  <c r="P50" i="4"/>
  <c r="S50" i="4" s="1"/>
  <c r="P43" i="4"/>
  <c r="V43" i="4" s="1"/>
  <c r="P52" i="4"/>
  <c r="V52" i="4" s="1"/>
  <c r="G14" i="5"/>
  <c r="P57" i="4"/>
  <c r="R57" i="4" s="1"/>
  <c r="P30" i="4"/>
  <c r="I42" i="17" s="1"/>
  <c r="P28" i="4"/>
  <c r="R28" i="4" s="1"/>
  <c r="G13" i="5"/>
  <c r="C24" i="17"/>
  <c r="P60" i="4"/>
  <c r="R60" i="4" s="1"/>
  <c r="P51" i="4"/>
  <c r="V51" i="4" s="1"/>
  <c r="G53" i="17"/>
  <c r="P58" i="4"/>
  <c r="S58" i="4" s="1"/>
  <c r="P46" i="4"/>
  <c r="R46" i="4" s="1"/>
  <c r="P55" i="4"/>
  <c r="R55" i="4" s="1"/>
  <c r="P32" i="4"/>
  <c r="V32" i="4" s="1"/>
  <c r="P34" i="4"/>
  <c r="I46" i="17" s="1"/>
  <c r="P56" i="4"/>
  <c r="V56" i="4" s="1"/>
  <c r="P29" i="4"/>
  <c r="R29" i="4" s="1"/>
  <c r="P53" i="4"/>
  <c r="R53" i="4" s="1"/>
  <c r="P61" i="4"/>
  <c r="R61" i="4" s="1"/>
  <c r="P59" i="4"/>
  <c r="S59" i="4" s="1"/>
  <c r="P54" i="4"/>
  <c r="V54" i="4" s="1"/>
  <c r="P41" i="4"/>
  <c r="S41" i="4" s="1"/>
  <c r="J20" i="5" s="1"/>
  <c r="P37" i="4"/>
  <c r="V37" i="4" s="1"/>
  <c r="P31" i="4"/>
  <c r="R31" i="4" s="1"/>
  <c r="P35" i="4"/>
  <c r="V35" i="4" s="1"/>
  <c r="F24" i="17"/>
  <c r="P47" i="4"/>
  <c r="T47" i="4" s="1"/>
  <c r="P45" i="4"/>
  <c r="P38" i="4"/>
  <c r="G21" i="5"/>
  <c r="G54" i="17"/>
  <c r="I22" i="17"/>
  <c r="G26" i="5"/>
  <c r="G59" i="17"/>
  <c r="G17" i="5"/>
  <c r="G50" i="17"/>
  <c r="G23" i="5"/>
  <c r="G56" i="17"/>
  <c r="G22" i="5"/>
  <c r="G55" i="17"/>
  <c r="B59" i="3"/>
  <c r="B65" i="3" s="1"/>
  <c r="B60" i="3"/>
  <c r="G12" i="5"/>
  <c r="G45" i="17"/>
  <c r="P33" i="4"/>
  <c r="G4" i="5"/>
  <c r="H62" i="4"/>
  <c r="D7" i="9" s="1"/>
  <c r="E7" i="9" s="1"/>
  <c r="G7" i="9" s="1"/>
  <c r="I25" i="4"/>
  <c r="G37" i="17"/>
  <c r="G18" i="5"/>
  <c r="G51" i="17"/>
  <c r="G15" i="5"/>
  <c r="G48" i="17"/>
  <c r="G19" i="5"/>
  <c r="G52" i="17"/>
  <c r="P27" i="4"/>
  <c r="P26" i="4"/>
  <c r="P42" i="4"/>
  <c r="G6" i="5"/>
  <c r="G39" i="17"/>
  <c r="P40" i="4"/>
  <c r="I20" i="17"/>
  <c r="G5" i="5"/>
  <c r="G38" i="17"/>
  <c r="G10" i="5"/>
  <c r="G43" i="17"/>
  <c r="G24" i="5"/>
  <c r="G57" i="17"/>
  <c r="P39" i="4"/>
  <c r="I21" i="17"/>
  <c r="P36" i="4"/>
  <c r="G8" i="5"/>
  <c r="G41" i="17"/>
  <c r="P25" i="4"/>
  <c r="B8" i="17"/>
  <c r="I19" i="17"/>
  <c r="G27" i="5"/>
  <c r="G60" i="17"/>
  <c r="G28" i="5"/>
  <c r="G61" i="17"/>
  <c r="P48" i="4"/>
  <c r="P44" i="4"/>
  <c r="G11" i="5"/>
  <c r="G44" i="17"/>
  <c r="I23" i="17"/>
  <c r="P49" i="4"/>
  <c r="G7" i="5"/>
  <c r="G40" i="17"/>
  <c r="G16" i="5"/>
  <c r="G49" i="17"/>
  <c r="D16" i="7" l="1"/>
  <c r="F16" i="7"/>
  <c r="E14" i="7"/>
  <c r="C29" i="8"/>
  <c r="E18" i="7"/>
  <c r="G6" i="7"/>
  <c r="G15" i="7"/>
  <c r="E8" i="7"/>
  <c r="F6" i="7"/>
  <c r="C7" i="7"/>
  <c r="B29" i="8"/>
  <c r="D14" i="7"/>
  <c r="D5" i="7"/>
  <c r="F5" i="7"/>
  <c r="F17" i="7"/>
  <c r="D15" i="7"/>
  <c r="B19" i="5"/>
  <c r="B26" i="5"/>
  <c r="B21" i="5"/>
  <c r="B28" i="5"/>
  <c r="C6" i="7"/>
  <c r="B4" i="5"/>
  <c r="B6" i="5"/>
  <c r="D17" i="7"/>
  <c r="G17" i="7"/>
  <c r="E15" i="7"/>
  <c r="E9" i="7"/>
  <c r="F5" i="6"/>
  <c r="D39" i="1" s="1"/>
  <c r="B31" i="8"/>
  <c r="C14" i="7"/>
  <c r="E17" i="7"/>
  <c r="D8" i="7"/>
  <c r="B12" i="5"/>
  <c r="D9" i="7"/>
  <c r="C15" i="7"/>
  <c r="F7" i="7"/>
  <c r="E5" i="7"/>
  <c r="D18" i="7"/>
  <c r="B15" i="5"/>
  <c r="B36" i="5"/>
  <c r="B14" i="5"/>
  <c r="B23" i="5"/>
  <c r="D6" i="7"/>
  <c r="F9" i="7"/>
  <c r="C5" i="7"/>
  <c r="F8" i="7"/>
  <c r="G5" i="7"/>
  <c r="C9" i="7"/>
  <c r="B39" i="5"/>
  <c r="B35" i="5"/>
  <c r="B29" i="5"/>
  <c r="C8" i="7"/>
  <c r="C16" i="7"/>
  <c r="G18" i="7"/>
  <c r="B30" i="8"/>
  <c r="F18" i="7"/>
  <c r="C31" i="8"/>
  <c r="B40" i="5"/>
  <c r="B9" i="5"/>
  <c r="E6" i="7"/>
  <c r="B7" i="5"/>
  <c r="B8" i="5"/>
  <c r="B62" i="3"/>
  <c r="F6" i="6" s="1"/>
  <c r="B30" i="5"/>
  <c r="T52" i="4"/>
  <c r="T57" i="4"/>
  <c r="B17" i="5"/>
  <c r="B18" i="5"/>
  <c r="B37" i="5"/>
  <c r="G9" i="7"/>
  <c r="S57" i="4"/>
  <c r="B25" i="5"/>
  <c r="C30" i="8"/>
  <c r="B11" i="5"/>
  <c r="C17" i="7"/>
  <c r="S56" i="4"/>
  <c r="B16" i="5"/>
  <c r="B31" i="5"/>
  <c r="B22" i="5"/>
  <c r="G16" i="7"/>
  <c r="E16" i="7"/>
  <c r="F15" i="7"/>
  <c r="G8" i="7"/>
  <c r="D7" i="7"/>
  <c r="G7" i="7"/>
  <c r="B38" i="5"/>
  <c r="B32" i="5"/>
  <c r="B34" i="5"/>
  <c r="G14" i="7"/>
  <c r="T50" i="4"/>
  <c r="J29" i="5" s="1"/>
  <c r="V57" i="4"/>
  <c r="B27" i="5"/>
  <c r="B13" i="5"/>
  <c r="B33" i="5"/>
  <c r="V50" i="4"/>
  <c r="R52" i="4"/>
  <c r="I31" i="5" s="1"/>
  <c r="R50" i="4"/>
  <c r="I29" i="5" s="1"/>
  <c r="B24" i="5"/>
  <c r="S52" i="4"/>
  <c r="I44" i="17"/>
  <c r="S55" i="4"/>
  <c r="V55" i="4"/>
  <c r="I55" i="17"/>
  <c r="B20" i="5"/>
  <c r="B5" i="5"/>
  <c r="E7" i="7"/>
  <c r="R43" i="4"/>
  <c r="I22" i="5" s="1"/>
  <c r="F14" i="7"/>
  <c r="T53" i="4"/>
  <c r="S53" i="4"/>
  <c r="V53" i="4"/>
  <c r="S43" i="4"/>
  <c r="J22" i="5" s="1"/>
  <c r="C18" i="7"/>
  <c r="S54" i="4"/>
  <c r="T60" i="4"/>
  <c r="S60" i="4"/>
  <c r="V60" i="4"/>
  <c r="T51" i="4"/>
  <c r="T59" i="4"/>
  <c r="V59" i="4"/>
  <c r="R59" i="4"/>
  <c r="I38" i="5" s="1"/>
  <c r="V30" i="4"/>
  <c r="V61" i="4"/>
  <c r="R51" i="4"/>
  <c r="I30" i="5" s="1"/>
  <c r="R56" i="4"/>
  <c r="I35" i="5" s="1"/>
  <c r="I41" i="17"/>
  <c r="V29" i="4"/>
  <c r="S51" i="4"/>
  <c r="T56" i="4"/>
  <c r="I40" i="17"/>
  <c r="V28" i="4"/>
  <c r="R30" i="4"/>
  <c r="U30" i="4" s="1"/>
  <c r="R54" i="4"/>
  <c r="I33" i="5" s="1"/>
  <c r="V47" i="4"/>
  <c r="V31" i="4"/>
  <c r="R37" i="4"/>
  <c r="I16" i="5" s="1"/>
  <c r="T61" i="4"/>
  <c r="T58" i="4"/>
  <c r="J37" i="5" s="1"/>
  <c r="I49" i="17"/>
  <c r="S61" i="4"/>
  <c r="R58" i="4"/>
  <c r="S37" i="4"/>
  <c r="J16" i="5" s="1"/>
  <c r="V58" i="4"/>
  <c r="I43" i="17"/>
  <c r="V34" i="4"/>
  <c r="R34" i="4"/>
  <c r="U34" i="4" s="1"/>
  <c r="I58" i="17"/>
  <c r="R32" i="4"/>
  <c r="I11" i="5" s="1"/>
  <c r="K11" i="5" s="1"/>
  <c r="V46" i="4"/>
  <c r="T55" i="4"/>
  <c r="S46" i="4"/>
  <c r="V41" i="4"/>
  <c r="I53" i="17"/>
  <c r="R41" i="4"/>
  <c r="I20" i="5" s="1"/>
  <c r="K20" i="5" s="1"/>
  <c r="T54" i="4"/>
  <c r="R47" i="4"/>
  <c r="I26" i="5" s="1"/>
  <c r="S47" i="4"/>
  <c r="J26" i="5" s="1"/>
  <c r="I59" i="17"/>
  <c r="I47" i="17"/>
  <c r="R35" i="4"/>
  <c r="I14" i="5" s="1"/>
  <c r="S38" i="4"/>
  <c r="J17" i="5" s="1"/>
  <c r="R38" i="4"/>
  <c r="I50" i="17"/>
  <c r="V38" i="4"/>
  <c r="I8" i="5"/>
  <c r="K8" i="5" s="1"/>
  <c r="U29" i="4"/>
  <c r="R49" i="4"/>
  <c r="S49" i="4"/>
  <c r="I61" i="17"/>
  <c r="V49" i="4"/>
  <c r="T49" i="4"/>
  <c r="V44" i="4"/>
  <c r="S44" i="4"/>
  <c r="J23" i="5" s="1"/>
  <c r="R44" i="4"/>
  <c r="I56" i="17"/>
  <c r="I32" i="5"/>
  <c r="P62" i="4"/>
  <c r="R25" i="4"/>
  <c r="Q25" i="4"/>
  <c r="Q26" i="4" s="1"/>
  <c r="Q27" i="4" s="1"/>
  <c r="Q28" i="4" s="1"/>
  <c r="Q29" i="4" s="1"/>
  <c r="Q30" i="4" s="1"/>
  <c r="Q31" i="4" s="1"/>
  <c r="Q32" i="4" s="1"/>
  <c r="Q33" i="4" s="1"/>
  <c r="Q34" i="4" s="1"/>
  <c r="Q35" i="4" s="1"/>
  <c r="I37" i="17"/>
  <c r="V25" i="4"/>
  <c r="S40" i="4"/>
  <c r="J19" i="5" s="1"/>
  <c r="R40" i="4"/>
  <c r="V40" i="4"/>
  <c r="I52" i="17"/>
  <c r="I10" i="5"/>
  <c r="K10" i="5" s="1"/>
  <c r="U31" i="4"/>
  <c r="I34" i="5"/>
  <c r="I24" i="17"/>
  <c r="O24" i="17" s="1"/>
  <c r="O19" i="17"/>
  <c r="J19" i="17"/>
  <c r="G41" i="5"/>
  <c r="C10" i="9" s="1"/>
  <c r="E10" i="9" s="1"/>
  <c r="G10" i="9" s="1"/>
  <c r="O22" i="17"/>
  <c r="J22" i="17"/>
  <c r="P22" i="17" s="1"/>
  <c r="I25" i="5"/>
  <c r="R45" i="4"/>
  <c r="I57" i="17"/>
  <c r="V45" i="4"/>
  <c r="S45" i="4"/>
  <c r="J24" i="5" s="1"/>
  <c r="H4" i="5"/>
  <c r="I26" i="4"/>
  <c r="H37" i="17"/>
  <c r="R36" i="4"/>
  <c r="I48" i="17"/>
  <c r="V36" i="4"/>
  <c r="S36" i="4"/>
  <c r="J15" i="5" s="1"/>
  <c r="I40" i="5"/>
  <c r="O21" i="17"/>
  <c r="J21" i="17"/>
  <c r="P21" i="17" s="1"/>
  <c r="J20" i="17"/>
  <c r="P20" i="17" s="1"/>
  <c r="O20" i="17"/>
  <c r="S42" i="4"/>
  <c r="J21" i="5" s="1"/>
  <c r="V42" i="4"/>
  <c r="R42" i="4"/>
  <c r="I54" i="17"/>
  <c r="R33" i="4"/>
  <c r="I45" i="17"/>
  <c r="V33" i="4"/>
  <c r="B10" i="17"/>
  <c r="B9" i="17"/>
  <c r="I36" i="5"/>
  <c r="V48" i="4"/>
  <c r="S48" i="4"/>
  <c r="R48" i="4"/>
  <c r="I60" i="17"/>
  <c r="T48" i="4"/>
  <c r="I39" i="5"/>
  <c r="R26" i="4"/>
  <c r="V26" i="4"/>
  <c r="I38" i="17"/>
  <c r="I7" i="5"/>
  <c r="K7" i="5" s="1"/>
  <c r="U28" i="4"/>
  <c r="J23" i="17"/>
  <c r="P23" i="17" s="1"/>
  <c r="O23" i="17"/>
  <c r="V39" i="4"/>
  <c r="I51" i="17"/>
  <c r="S39" i="4"/>
  <c r="J18" i="5" s="1"/>
  <c r="R39" i="4"/>
  <c r="V27" i="4"/>
  <c r="I39" i="17"/>
  <c r="R27" i="4"/>
  <c r="B63" i="3" l="1"/>
  <c r="B68" i="3" s="1"/>
  <c r="J31" i="5"/>
  <c r="K31" i="5" s="1"/>
  <c r="J36" i="5"/>
  <c r="K36" i="5" s="1"/>
  <c r="P29" i="8"/>
  <c r="E31" i="8" s="1"/>
  <c r="U57" i="4"/>
  <c r="J35" i="5"/>
  <c r="K35" i="5" s="1"/>
  <c r="J39" i="5"/>
  <c r="K39" i="5" s="1"/>
  <c r="U53" i="4"/>
  <c r="U50" i="4"/>
  <c r="J34" i="5"/>
  <c r="K34" i="5" s="1"/>
  <c r="B41" i="5"/>
  <c r="K22" i="5"/>
  <c r="U52" i="4"/>
  <c r="U55" i="4"/>
  <c r="U58" i="4"/>
  <c r="J32" i="5"/>
  <c r="K32" i="5" s="1"/>
  <c r="U60" i="4"/>
  <c r="U43" i="4"/>
  <c r="U59" i="4"/>
  <c r="J38" i="5"/>
  <c r="K38" i="5" s="1"/>
  <c r="U54" i="4"/>
  <c r="U32" i="4"/>
  <c r="U61" i="4"/>
  <c r="J30" i="5"/>
  <c r="K30" i="5" s="1"/>
  <c r="U51" i="4"/>
  <c r="I9" i="5"/>
  <c r="K9" i="5" s="1"/>
  <c r="U56" i="4"/>
  <c r="U37" i="4"/>
  <c r="J40" i="5"/>
  <c r="K40" i="5" s="1"/>
  <c r="K26" i="5"/>
  <c r="I13" i="5"/>
  <c r="K13" i="5" s="1"/>
  <c r="J33" i="5"/>
  <c r="K33" i="5" s="1"/>
  <c r="K16" i="5"/>
  <c r="I37" i="5"/>
  <c r="K37" i="5" s="1"/>
  <c r="U47" i="4"/>
  <c r="U41" i="4"/>
  <c r="J27" i="5"/>
  <c r="V62" i="4"/>
  <c r="F9" i="6" s="1"/>
  <c r="I6" i="5"/>
  <c r="K6" i="5" s="1"/>
  <c r="U27" i="4"/>
  <c r="J28" i="5"/>
  <c r="Q36" i="4"/>
  <c r="Q37" i="4" s="1"/>
  <c r="Q38" i="4" s="1"/>
  <c r="Q39" i="4" s="1"/>
  <c r="Q40" i="4" s="1"/>
  <c r="Q41" i="4" s="1"/>
  <c r="Q42" i="4" s="1"/>
  <c r="Q43" i="4" s="1"/>
  <c r="Q44" i="4" s="1"/>
  <c r="Q45" i="4" s="1"/>
  <c r="Q46" i="4" s="1"/>
  <c r="S35" i="4"/>
  <c r="H5" i="5"/>
  <c r="I27" i="4"/>
  <c r="H38" i="17"/>
  <c r="I4" i="5"/>
  <c r="R62" i="4"/>
  <c r="U25" i="4"/>
  <c r="I28" i="5"/>
  <c r="U49" i="4"/>
  <c r="I27" i="5"/>
  <c r="U48" i="4"/>
  <c r="I5" i="5"/>
  <c r="K5" i="5" s="1"/>
  <c r="U26" i="4"/>
  <c r="I18" i="5"/>
  <c r="K18" i="5" s="1"/>
  <c r="U39" i="4"/>
  <c r="I21" i="5"/>
  <c r="K21" i="5" s="1"/>
  <c r="U42" i="4"/>
  <c r="U36" i="4"/>
  <c r="I15" i="5"/>
  <c r="K15" i="5" s="1"/>
  <c r="I19" i="5"/>
  <c r="K19" i="5" s="1"/>
  <c r="U40" i="4"/>
  <c r="I12" i="5"/>
  <c r="K12" i="5" s="1"/>
  <c r="U33" i="4"/>
  <c r="M4" i="5"/>
  <c r="C31" i="16"/>
  <c r="I23" i="5"/>
  <c r="K23" i="5" s="1"/>
  <c r="U44" i="4"/>
  <c r="I17" i="5"/>
  <c r="K17" i="5" s="1"/>
  <c r="U38" i="4"/>
  <c r="D35" i="5"/>
  <c r="D23" i="5"/>
  <c r="D11" i="5"/>
  <c r="D36" i="5"/>
  <c r="D24" i="5"/>
  <c r="D12" i="5"/>
  <c r="D37" i="5"/>
  <c r="D25" i="5"/>
  <c r="D13" i="5"/>
  <c r="D38" i="5"/>
  <c r="D26" i="5"/>
  <c r="D14" i="5"/>
  <c r="D39" i="5"/>
  <c r="D27" i="5"/>
  <c r="D15" i="5"/>
  <c r="D31" i="5"/>
  <c r="D19" i="5"/>
  <c r="D7" i="5"/>
  <c r="D30" i="5"/>
  <c r="D29" i="5"/>
  <c r="D6" i="5"/>
  <c r="D5" i="5"/>
  <c r="D4" i="5"/>
  <c r="D28" i="5"/>
  <c r="D21" i="5"/>
  <c r="D40" i="5"/>
  <c r="D16" i="5"/>
  <c r="D18" i="5"/>
  <c r="D34" i="5"/>
  <c r="D32" i="5"/>
  <c r="D10" i="5"/>
  <c r="D17" i="5"/>
  <c r="D8" i="5"/>
  <c r="D9" i="5"/>
  <c r="D20" i="5"/>
  <c r="D33" i="5"/>
  <c r="D22" i="5"/>
  <c r="C9" i="9"/>
  <c r="I24" i="5"/>
  <c r="K24" i="5" s="1"/>
  <c r="U45" i="4"/>
  <c r="D40" i="1"/>
  <c r="K29" i="5"/>
  <c r="J24" i="17"/>
  <c r="P19" i="17"/>
  <c r="B30" i="17"/>
  <c r="D30" i="17" s="1"/>
  <c r="B29" i="17"/>
  <c r="D29" i="17" s="1"/>
  <c r="P24" i="17"/>
  <c r="B11" i="17"/>
  <c r="C11" i="17" s="1"/>
  <c r="E29" i="8" l="1"/>
  <c r="F7" i="6"/>
  <c r="D41" i="1" s="1"/>
  <c r="B67" i="3"/>
  <c r="C34" i="5" s="1"/>
  <c r="F34" i="5" s="1"/>
  <c r="E30" i="8"/>
  <c r="K27" i="5"/>
  <c r="K28" i="5"/>
  <c r="M5" i="5"/>
  <c r="D31" i="16"/>
  <c r="D41" i="5"/>
  <c r="J14" i="5"/>
  <c r="S62" i="4"/>
  <c r="U35" i="4"/>
  <c r="I4" i="16"/>
  <c r="Q47" i="4"/>
  <c r="Q48" i="4" s="1"/>
  <c r="Q49" i="4" s="1"/>
  <c r="Q50" i="4" s="1"/>
  <c r="Q51" i="4" s="1"/>
  <c r="Q52" i="4" s="1"/>
  <c r="Q53" i="4" s="1"/>
  <c r="Q54" i="4" s="1"/>
  <c r="Q55" i="4" s="1"/>
  <c r="Q56" i="4" s="1"/>
  <c r="Q57" i="4" s="1"/>
  <c r="Q58" i="4" s="1"/>
  <c r="Q59" i="4" s="1"/>
  <c r="Q60" i="4" s="1"/>
  <c r="Q61" i="4" s="1"/>
  <c r="T46" i="4"/>
  <c r="D43" i="1"/>
  <c r="H6" i="5"/>
  <c r="H39" i="17"/>
  <c r="I28" i="4"/>
  <c r="I41" i="5"/>
  <c r="K4" i="5"/>
  <c r="P4" i="5" s="1"/>
  <c r="Q4" i="5" s="1"/>
  <c r="C40" i="5" l="1"/>
  <c r="F40" i="5" s="1"/>
  <c r="T40" i="5" s="1"/>
  <c r="C21" i="5"/>
  <c r="F21" i="5" s="1"/>
  <c r="T21" i="5" s="1"/>
  <c r="C9" i="5"/>
  <c r="F9" i="5" s="1"/>
  <c r="T9" i="5" s="1"/>
  <c r="C28" i="5"/>
  <c r="F28" i="5" s="1"/>
  <c r="T28" i="5" s="1"/>
  <c r="C5" i="5"/>
  <c r="F5" i="5" s="1"/>
  <c r="T5" i="5" s="1"/>
  <c r="C7" i="5"/>
  <c r="F7" i="5" s="1"/>
  <c r="T7" i="5" s="1"/>
  <c r="C31" i="5"/>
  <c r="F31" i="5" s="1"/>
  <c r="T31" i="5" s="1"/>
  <c r="C6" i="5"/>
  <c r="F6" i="5" s="1"/>
  <c r="T6" i="5" s="1"/>
  <c r="C18" i="5"/>
  <c r="F18" i="5" s="1"/>
  <c r="T18" i="5" s="1"/>
  <c r="C26" i="5"/>
  <c r="F26" i="5" s="1"/>
  <c r="T26" i="5" s="1"/>
  <c r="C13" i="5"/>
  <c r="F13" i="5" s="1"/>
  <c r="T13" i="5" s="1"/>
  <c r="C33" i="5"/>
  <c r="F33" i="5" s="1"/>
  <c r="T33" i="5" s="1"/>
  <c r="C25" i="5"/>
  <c r="F25" i="5" s="1"/>
  <c r="C19" i="5"/>
  <c r="F19" i="5" s="1"/>
  <c r="T19" i="5" s="1"/>
  <c r="C37" i="5"/>
  <c r="F37" i="5" s="1"/>
  <c r="T37" i="5" s="1"/>
  <c r="C16" i="5"/>
  <c r="F16" i="5" s="1"/>
  <c r="T16" i="5" s="1"/>
  <c r="C12" i="5"/>
  <c r="F12" i="5" s="1"/>
  <c r="T12" i="5" s="1"/>
  <c r="C20" i="5"/>
  <c r="F20" i="5" s="1"/>
  <c r="T20" i="5" s="1"/>
  <c r="C24" i="5"/>
  <c r="F24" i="5" s="1"/>
  <c r="T24" i="5" s="1"/>
  <c r="C4" i="5"/>
  <c r="F4" i="5" s="1"/>
  <c r="T4" i="5" s="1"/>
  <c r="C36" i="5"/>
  <c r="F36" i="5" s="1"/>
  <c r="T36" i="5" s="1"/>
  <c r="C29" i="5"/>
  <c r="F29" i="5" s="1"/>
  <c r="T29" i="5" s="1"/>
  <c r="C11" i="5"/>
  <c r="F11" i="5" s="1"/>
  <c r="T11" i="5" s="1"/>
  <c r="C15" i="5"/>
  <c r="F15" i="5" s="1"/>
  <c r="T15" i="5" s="1"/>
  <c r="C8" i="5"/>
  <c r="F8" i="5" s="1"/>
  <c r="T8" i="5" s="1"/>
  <c r="C23" i="5"/>
  <c r="F23" i="5" s="1"/>
  <c r="T23" i="5" s="1"/>
  <c r="C39" i="5"/>
  <c r="F39" i="5" s="1"/>
  <c r="T39" i="5" s="1"/>
  <c r="C32" i="5"/>
  <c r="F32" i="5" s="1"/>
  <c r="T32" i="5" s="1"/>
  <c r="C35" i="5"/>
  <c r="F35" i="5" s="1"/>
  <c r="T35" i="5" s="1"/>
  <c r="C17" i="5"/>
  <c r="F17" i="5" s="1"/>
  <c r="T17" i="5" s="1"/>
  <c r="C30" i="5"/>
  <c r="F30" i="5" s="1"/>
  <c r="T30" i="5" s="1"/>
  <c r="C10" i="5"/>
  <c r="F10" i="5" s="1"/>
  <c r="T10" i="5" s="1"/>
  <c r="C27" i="5"/>
  <c r="F27" i="5" s="1"/>
  <c r="T27" i="5" s="1"/>
  <c r="C14" i="5"/>
  <c r="F14" i="5" s="1"/>
  <c r="C22" i="5"/>
  <c r="F22" i="5" s="1"/>
  <c r="T22" i="5" s="1"/>
  <c r="C38" i="5"/>
  <c r="F38" i="5" s="1"/>
  <c r="T38" i="5" s="1"/>
  <c r="N5" i="5"/>
  <c r="B27" i="1"/>
  <c r="C29" i="16"/>
  <c r="C10" i="16"/>
  <c r="H7" i="5"/>
  <c r="H40" i="17"/>
  <c r="I29" i="4"/>
  <c r="K14" i="5"/>
  <c r="T62" i="4"/>
  <c r="J25" i="5"/>
  <c r="K25" i="5" s="1"/>
  <c r="U46" i="4"/>
  <c r="U62" i="4" s="1"/>
  <c r="M6" i="5"/>
  <c r="E31" i="16"/>
  <c r="T34" i="5"/>
  <c r="L6" i="5" l="1"/>
  <c r="L5" i="5"/>
  <c r="C41" i="5"/>
  <c r="J41" i="5"/>
  <c r="D11" i="9"/>
  <c r="D9" i="9"/>
  <c r="E9" i="9" s="1"/>
  <c r="G9" i="9" s="1"/>
  <c r="T14" i="5"/>
  <c r="K41" i="5"/>
  <c r="C11" i="9" s="1"/>
  <c r="F41" i="5"/>
  <c r="C12" i="9" s="1"/>
  <c r="B5" i="6"/>
  <c r="L4" i="5"/>
  <c r="R4" i="5" s="1"/>
  <c r="I30" i="4"/>
  <c r="H41" i="17"/>
  <c r="H8" i="5"/>
  <c r="M7" i="5"/>
  <c r="L7" i="5" s="1"/>
  <c r="F31" i="16"/>
  <c r="B4" i="6"/>
  <c r="T25" i="5"/>
  <c r="O5" i="5"/>
  <c r="P5" i="5" s="1"/>
  <c r="R5" i="5" l="1"/>
  <c r="V5" i="5" s="1"/>
  <c r="B19" i="6"/>
  <c r="B20" i="6" s="1"/>
  <c r="B23" i="6"/>
  <c r="AS1" i="15" s="1"/>
  <c r="E11" i="9"/>
  <c r="G11" i="9" s="1"/>
  <c r="I31" i="4"/>
  <c r="H9" i="5"/>
  <c r="H42" i="17"/>
  <c r="D12" i="9"/>
  <c r="E12" i="9" s="1"/>
  <c r="G12" i="9" s="1"/>
  <c r="B40" i="6"/>
  <c r="A11" i="1"/>
  <c r="D48" i="1"/>
  <c r="O1" i="15"/>
  <c r="G48" i="1"/>
  <c r="S4" i="5"/>
  <c r="X4" i="5"/>
  <c r="W4" i="5"/>
  <c r="V4" i="5"/>
  <c r="Q5" i="5"/>
  <c r="M8" i="5"/>
  <c r="L8" i="5" s="1"/>
  <c r="G31" i="16"/>
  <c r="X5" i="5" l="1"/>
  <c r="W5" i="5"/>
  <c r="S5" i="5"/>
  <c r="C30" i="16"/>
  <c r="C11" i="16"/>
  <c r="H27" i="1"/>
  <c r="M9" i="5"/>
  <c r="L9" i="5" s="1"/>
  <c r="H31" i="16"/>
  <c r="N6" i="5"/>
  <c r="D29" i="16"/>
  <c r="D10" i="16"/>
  <c r="H10" i="5"/>
  <c r="H43" i="17"/>
  <c r="I32" i="4"/>
  <c r="M10" i="5" l="1"/>
  <c r="L10" i="5" s="1"/>
  <c r="I31" i="16"/>
  <c r="H11" i="5"/>
  <c r="I33" i="4"/>
  <c r="H44" i="17"/>
  <c r="D30" i="16"/>
  <c r="D11" i="16"/>
  <c r="O6" i="5"/>
  <c r="P6" i="5" s="1"/>
  <c r="R6" i="5" s="1"/>
  <c r="W6" i="5" l="1"/>
  <c r="V6" i="5"/>
  <c r="X6" i="5"/>
  <c r="Q6" i="5"/>
  <c r="S6" i="5"/>
  <c r="I34" i="4"/>
  <c r="H45" i="17"/>
  <c r="H12" i="5"/>
  <c r="M11" i="5"/>
  <c r="L11" i="5" s="1"/>
  <c r="J31" i="16"/>
  <c r="H13" i="5" l="1"/>
  <c r="I35" i="4"/>
  <c r="H46" i="17"/>
  <c r="N7" i="5"/>
  <c r="E29" i="16"/>
  <c r="E10" i="16"/>
  <c r="E11" i="16"/>
  <c r="E30" i="16"/>
  <c r="M12" i="5"/>
  <c r="L12" i="5" s="1"/>
  <c r="K31" i="16"/>
  <c r="H14" i="5" l="1"/>
  <c r="I36" i="4"/>
  <c r="H47" i="17"/>
  <c r="O7" i="5"/>
  <c r="M13" i="5"/>
  <c r="L13" i="5" s="1"/>
  <c r="L31" i="16"/>
  <c r="P7" i="5" l="1"/>
  <c r="R7" i="5" s="1"/>
  <c r="H15" i="5"/>
  <c r="I37" i="4"/>
  <c r="H48" i="17"/>
  <c r="M14" i="5"/>
  <c r="L14" i="5" s="1"/>
  <c r="M31" i="16"/>
  <c r="H16" i="5" l="1"/>
  <c r="H49" i="17"/>
  <c r="I38" i="4"/>
  <c r="M15" i="5"/>
  <c r="L15" i="5" s="1"/>
  <c r="D15" i="16" s="1"/>
  <c r="N31" i="16"/>
  <c r="Q7" i="5"/>
  <c r="X7" i="5"/>
  <c r="W7" i="5"/>
  <c r="V7" i="5"/>
  <c r="S7" i="5"/>
  <c r="N8" i="5" l="1"/>
  <c r="F10" i="16"/>
  <c r="F29" i="16"/>
  <c r="B28" i="1"/>
  <c r="H17" i="5"/>
  <c r="I39" i="4"/>
  <c r="H50" i="17"/>
  <c r="F30" i="16"/>
  <c r="H28" i="1"/>
  <c r="F11" i="16"/>
  <c r="M16" i="5"/>
  <c r="L16" i="5" s="1"/>
  <c r="O31" i="16"/>
  <c r="O8" i="5" l="1"/>
  <c r="M17" i="5"/>
  <c r="L17" i="5" s="1"/>
  <c r="P31" i="16"/>
  <c r="H18" i="5"/>
  <c r="I40" i="4"/>
  <c r="H51" i="17"/>
  <c r="M18" i="5" l="1"/>
  <c r="L18" i="5" s="1"/>
  <c r="Q31" i="16"/>
  <c r="D18" i="16"/>
  <c r="P8" i="5"/>
  <c r="H19" i="5"/>
  <c r="I41" i="4"/>
  <c r="H52" i="17"/>
  <c r="H20" i="5" l="1"/>
  <c r="H53" i="17"/>
  <c r="I42" i="4"/>
  <c r="M19" i="5"/>
  <c r="R31" i="16"/>
  <c r="R8" i="5"/>
  <c r="Q8" i="5"/>
  <c r="N9" i="5" l="1"/>
  <c r="G29" i="16"/>
  <c r="G10" i="16"/>
  <c r="X8" i="5"/>
  <c r="W8" i="5"/>
  <c r="V8" i="5"/>
  <c r="S8" i="5"/>
  <c r="D19" i="16"/>
  <c r="U25" i="16" s="1"/>
  <c r="Y25" i="16" s="1"/>
  <c r="L19" i="5"/>
  <c r="H21" i="5"/>
  <c r="I43" i="4"/>
  <c r="H54" i="17"/>
  <c r="M20" i="5"/>
  <c r="L20" i="5" s="1"/>
  <c r="S31" i="16"/>
  <c r="H22" i="5" l="1"/>
  <c r="I44" i="4"/>
  <c r="H55" i="17"/>
  <c r="M21" i="5"/>
  <c r="L21" i="5" s="1"/>
  <c r="T31" i="16"/>
  <c r="G30" i="16"/>
  <c r="G11" i="16"/>
  <c r="O9" i="5"/>
  <c r="P9" i="5" s="1"/>
  <c r="R9" i="5" l="1"/>
  <c r="Q9" i="5"/>
  <c r="H23" i="5"/>
  <c r="I45" i="4"/>
  <c r="H56" i="17"/>
  <c r="M22" i="5"/>
  <c r="L22" i="5" s="1"/>
  <c r="U31" i="16"/>
  <c r="H24" i="5" l="1"/>
  <c r="H57" i="17"/>
  <c r="I46" i="4"/>
  <c r="M23" i="5"/>
  <c r="L23" i="5" s="1"/>
  <c r="V31" i="16"/>
  <c r="N10" i="5"/>
  <c r="H29" i="16"/>
  <c r="H10" i="16"/>
  <c r="X9" i="5"/>
  <c r="W9" i="5"/>
  <c r="V9" i="5"/>
  <c r="S9" i="5"/>
  <c r="O10" i="5" l="1"/>
  <c r="P10" i="5" s="1"/>
  <c r="H25" i="5"/>
  <c r="H58" i="17"/>
  <c r="I47" i="4"/>
  <c r="H11" i="16"/>
  <c r="H30" i="16"/>
  <c r="M24" i="5"/>
  <c r="L24" i="5" s="1"/>
  <c r="D24" i="16"/>
  <c r="W31" i="16"/>
  <c r="R10" i="5" l="1"/>
  <c r="Q10" i="5"/>
  <c r="M25" i="5"/>
  <c r="L25" i="5" s="1"/>
  <c r="X31" i="16"/>
  <c r="B7" i="8"/>
  <c r="H26" i="5"/>
  <c r="I48" i="4"/>
  <c r="H59" i="17"/>
  <c r="AI9" i="16"/>
  <c r="W9" i="16"/>
  <c r="K9" i="16"/>
  <c r="AH9" i="16"/>
  <c r="V9" i="16"/>
  <c r="J9" i="16"/>
  <c r="AE9" i="16"/>
  <c r="S9" i="16"/>
  <c r="G9" i="16"/>
  <c r="AM9" i="16"/>
  <c r="AA9" i="16"/>
  <c r="O9" i="16"/>
  <c r="C9" i="16"/>
  <c r="AL9" i="16"/>
  <c r="Z9" i="16"/>
  <c r="N9" i="16"/>
  <c r="AK9" i="16"/>
  <c r="Y9" i="16"/>
  <c r="M9" i="16"/>
  <c r="AJ9" i="16"/>
  <c r="X9" i="16"/>
  <c r="L9" i="16"/>
  <c r="P9" i="16"/>
  <c r="Q9" i="16"/>
  <c r="I9" i="16"/>
  <c r="T9" i="16"/>
  <c r="H9" i="16"/>
  <c r="R9" i="16"/>
  <c r="AG9" i="16"/>
  <c r="F9" i="16"/>
  <c r="AF9" i="16"/>
  <c r="E9" i="16"/>
  <c r="AD9" i="16"/>
  <c r="D9" i="16"/>
  <c r="AC9" i="16"/>
  <c r="AB9" i="16"/>
  <c r="U9" i="16"/>
  <c r="B14" i="8" l="1"/>
  <c r="D14" i="8" s="1"/>
  <c r="U16" i="16"/>
  <c r="M26" i="5"/>
  <c r="L26" i="5" s="1"/>
  <c r="Y31" i="16"/>
  <c r="X10" i="5"/>
  <c r="W10" i="5"/>
  <c r="V10" i="5"/>
  <c r="S10" i="5"/>
  <c r="H27" i="5"/>
  <c r="I49" i="4"/>
  <c r="H60" i="17"/>
  <c r="N11" i="5"/>
  <c r="I10" i="16"/>
  <c r="I29" i="16"/>
  <c r="B29" i="1"/>
  <c r="M27" i="5" l="1"/>
  <c r="L27" i="5" s="1"/>
  <c r="Z31" i="16"/>
  <c r="H28" i="5"/>
  <c r="I50" i="4"/>
  <c r="H61" i="17"/>
  <c r="Y16" i="16"/>
  <c r="U17" i="16"/>
  <c r="Y17" i="16" s="1"/>
  <c r="O11" i="5"/>
  <c r="P11" i="5" s="1"/>
  <c r="I11" i="16"/>
  <c r="I30" i="16"/>
  <c r="H29" i="1"/>
  <c r="R11" i="5" l="1"/>
  <c r="Q11" i="5"/>
  <c r="H29" i="5"/>
  <c r="I51" i="4"/>
  <c r="M28" i="5"/>
  <c r="L28" i="5" s="1"/>
  <c r="AA31" i="16"/>
  <c r="H30" i="5" l="1"/>
  <c r="I52" i="4"/>
  <c r="M29" i="5"/>
  <c r="L29" i="5" s="1"/>
  <c r="AB31" i="16"/>
  <c r="N12" i="5"/>
  <c r="J10" i="16"/>
  <c r="J29" i="16"/>
  <c r="X11" i="5"/>
  <c r="W11" i="5"/>
  <c r="V11" i="5"/>
  <c r="S11" i="5"/>
  <c r="J30" i="16" l="1"/>
  <c r="J11" i="16"/>
  <c r="O12" i="5"/>
  <c r="H31" i="5"/>
  <c r="I53" i="4"/>
  <c r="M30" i="5"/>
  <c r="L30" i="5" s="1"/>
  <c r="AC31" i="16"/>
  <c r="M31" i="5" l="1"/>
  <c r="L31" i="5" s="1"/>
  <c r="AD31" i="16"/>
  <c r="I54" i="4"/>
  <c r="H32" i="5"/>
  <c r="P12" i="5"/>
  <c r="R12" i="5" s="1"/>
  <c r="I55" i="4" l="1"/>
  <c r="H33" i="5"/>
  <c r="V12" i="5"/>
  <c r="X12" i="5"/>
  <c r="W12" i="5"/>
  <c r="S12" i="5"/>
  <c r="M32" i="5"/>
  <c r="L32" i="5" s="1"/>
  <c r="AE31" i="16"/>
  <c r="Q12" i="5"/>
  <c r="K11" i="16" l="1"/>
  <c r="K30" i="16"/>
  <c r="M33" i="5"/>
  <c r="L33" i="5" s="1"/>
  <c r="AF31" i="16"/>
  <c r="N13" i="5"/>
  <c r="K29" i="16"/>
  <c r="K10" i="16"/>
  <c r="H34" i="5"/>
  <c r="I56" i="4"/>
  <c r="H35" i="5" l="1"/>
  <c r="I57" i="4"/>
  <c r="M34" i="5"/>
  <c r="L34" i="5" s="1"/>
  <c r="AG31" i="16"/>
  <c r="O13" i="5"/>
  <c r="P13" i="5" s="1"/>
  <c r="R13" i="5" s="1"/>
  <c r="Q13" i="5" l="1"/>
  <c r="N14" i="5" s="1"/>
  <c r="V13" i="5"/>
  <c r="W13" i="5"/>
  <c r="X13" i="5"/>
  <c r="S13" i="5"/>
  <c r="I58" i="4"/>
  <c r="H36" i="5"/>
  <c r="M35" i="5"/>
  <c r="L35" i="5" s="1"/>
  <c r="AH31" i="16"/>
  <c r="L29" i="16" l="1"/>
  <c r="L10" i="16"/>
  <c r="B30" i="1"/>
  <c r="L11" i="16"/>
  <c r="L30" i="16"/>
  <c r="H30" i="1"/>
  <c r="M36" i="5"/>
  <c r="L36" i="5" s="1"/>
  <c r="AI31" i="16"/>
  <c r="H37" i="5"/>
  <c r="I59" i="4"/>
  <c r="O14" i="5"/>
  <c r="M37" i="5" l="1"/>
  <c r="L37" i="5" s="1"/>
  <c r="AJ31" i="16"/>
  <c r="I60" i="4"/>
  <c r="H38" i="5"/>
  <c r="P14" i="5"/>
  <c r="R14" i="5" s="1"/>
  <c r="M38" i="5" l="1"/>
  <c r="L38" i="5" s="1"/>
  <c r="AK31" i="16"/>
  <c r="W14" i="5"/>
  <c r="V14" i="5"/>
  <c r="X14" i="5"/>
  <c r="S14" i="5"/>
  <c r="H39" i="5"/>
  <c r="I61" i="4"/>
  <c r="Q14" i="5"/>
  <c r="M11" i="16" l="1"/>
  <c r="M30" i="16"/>
  <c r="H40" i="5"/>
  <c r="B12" i="17"/>
  <c r="N15" i="5"/>
  <c r="M10" i="16"/>
  <c r="M29" i="16"/>
  <c r="M39" i="5"/>
  <c r="L39" i="5" s="1"/>
  <c r="AL31" i="16"/>
  <c r="M40" i="5" l="1"/>
  <c r="L40" i="5" s="1"/>
  <c r="AM31" i="16"/>
  <c r="O15" i="5"/>
  <c r="P15" i="5" s="1"/>
  <c r="R15" i="5" s="1"/>
  <c r="X15" i="5" l="1"/>
  <c r="W15" i="5"/>
  <c r="V15" i="5"/>
  <c r="S15" i="5"/>
  <c r="Q15" i="5"/>
  <c r="N16" i="5" l="1"/>
  <c r="N10" i="16"/>
  <c r="N29" i="16"/>
  <c r="N30" i="16"/>
  <c r="N11" i="16"/>
  <c r="O16" i="5" l="1"/>
  <c r="P16" i="5" s="1"/>
  <c r="R16" i="5" l="1"/>
  <c r="Q16" i="5"/>
  <c r="W16" i="5" l="1"/>
  <c r="X16" i="5"/>
  <c r="V16" i="5"/>
  <c r="S16" i="5"/>
  <c r="N17" i="5"/>
  <c r="O29" i="16"/>
  <c r="O10" i="16"/>
  <c r="B31" i="1"/>
  <c r="O17" i="5" l="1"/>
  <c r="P17" i="5" s="1"/>
  <c r="O30" i="16"/>
  <c r="O11" i="16"/>
  <c r="H31" i="1"/>
  <c r="R17" i="5" l="1"/>
  <c r="Q17" i="5"/>
  <c r="N18" i="5" l="1"/>
  <c r="P29" i="16"/>
  <c r="P10" i="16"/>
  <c r="V17" i="5"/>
  <c r="X17" i="5"/>
  <c r="W17" i="5"/>
  <c r="S17" i="5"/>
  <c r="P30" i="16" l="1"/>
  <c r="P11" i="16"/>
  <c r="O18" i="5"/>
  <c r="P18" i="5" s="1"/>
  <c r="R18" i="5" s="1"/>
  <c r="Q18" i="5" l="1"/>
  <c r="N19" i="5" s="1"/>
  <c r="W18" i="5"/>
  <c r="V18" i="5"/>
  <c r="X18" i="5"/>
  <c r="S18" i="5"/>
  <c r="Q10" i="16" l="1"/>
  <c r="Q29" i="16"/>
  <c r="Q11" i="16"/>
  <c r="Q30" i="16"/>
  <c r="O19" i="5"/>
  <c r="P19" i="5" s="1"/>
  <c r="R19" i="5" l="1"/>
  <c r="Q19" i="5"/>
  <c r="N20" i="5" l="1"/>
  <c r="R10" i="16"/>
  <c r="R29" i="16"/>
  <c r="B32" i="1"/>
  <c r="X19" i="5"/>
  <c r="W19" i="5"/>
  <c r="V19" i="5"/>
  <c r="S19" i="5"/>
  <c r="R30" i="16" l="1"/>
  <c r="H32" i="1"/>
  <c r="R11" i="16"/>
  <c r="O20" i="5"/>
  <c r="P20" i="5" s="1"/>
  <c r="R20" i="5" s="1"/>
  <c r="X20" i="5" l="1"/>
  <c r="W20" i="5"/>
  <c r="V20" i="5"/>
  <c r="S20" i="5"/>
  <c r="Q20" i="5"/>
  <c r="N21" i="5" l="1"/>
  <c r="S29" i="16"/>
  <c r="S10" i="16"/>
  <c r="S30" i="16"/>
  <c r="S11" i="16"/>
  <c r="O21" i="5" l="1"/>
  <c r="P21" i="5" l="1"/>
  <c r="R21" i="5" s="1"/>
  <c r="X21" i="5" l="1"/>
  <c r="W21" i="5"/>
  <c r="V21" i="5"/>
  <c r="S21" i="5"/>
  <c r="Q21" i="5"/>
  <c r="T11" i="16" l="1"/>
  <c r="T30" i="16"/>
  <c r="N22" i="5"/>
  <c r="T29" i="16"/>
  <c r="T10" i="16"/>
  <c r="O22" i="5" l="1"/>
  <c r="P22" i="5" s="1"/>
  <c r="R22" i="5" s="1"/>
  <c r="X22" i="5" l="1"/>
  <c r="W22" i="5"/>
  <c r="V22" i="5"/>
  <c r="S22" i="5"/>
  <c r="Q22" i="5"/>
  <c r="N23" i="5" l="1"/>
  <c r="U10" i="16"/>
  <c r="U29" i="16"/>
  <c r="B33" i="1"/>
  <c r="U11" i="16"/>
  <c r="U30" i="16"/>
  <c r="H33" i="1"/>
  <c r="O23" i="5" l="1"/>
  <c r="P23" i="5" s="1"/>
  <c r="R23" i="5" l="1"/>
  <c r="Q23" i="5"/>
  <c r="N24" i="5" l="1"/>
  <c r="V10" i="16"/>
  <c r="V29" i="16"/>
  <c r="X23" i="5"/>
  <c r="V23" i="5"/>
  <c r="W23" i="5"/>
  <c r="S23" i="5"/>
  <c r="V30" i="16" l="1"/>
  <c r="V11" i="16"/>
  <c r="O24" i="5"/>
  <c r="P24" i="5" l="1"/>
  <c r="R24" i="5" s="1"/>
  <c r="X24" i="5" l="1"/>
  <c r="W24" i="5"/>
  <c r="V24" i="5"/>
  <c r="S24" i="5"/>
  <c r="Q24" i="5"/>
  <c r="N25" i="5" l="1"/>
  <c r="W29" i="16"/>
  <c r="W10" i="16"/>
  <c r="W11" i="16"/>
  <c r="W30" i="16"/>
  <c r="O25" i="5" l="1"/>
  <c r="P25" i="5" l="1"/>
  <c r="R25" i="5" s="1"/>
  <c r="S25" i="5" l="1"/>
  <c r="Q25" i="5"/>
  <c r="N26" i="5" l="1"/>
  <c r="X10" i="16"/>
  <c r="X29" i="16"/>
  <c r="B34" i="1"/>
  <c r="X11" i="16"/>
  <c r="X30" i="16"/>
  <c r="H34" i="1"/>
  <c r="O26" i="5" l="1"/>
  <c r="P26" i="5" l="1"/>
  <c r="R26" i="5" s="1"/>
  <c r="W26" i="5" l="1"/>
  <c r="X26" i="5"/>
  <c r="V26" i="5"/>
  <c r="S26" i="5"/>
  <c r="Q26" i="5"/>
  <c r="N27" i="5" l="1"/>
  <c r="Y10" i="16"/>
  <c r="Y29" i="16"/>
  <c r="Y11" i="16"/>
  <c r="Y30" i="16"/>
  <c r="O27" i="5" l="1"/>
  <c r="P27" i="5" l="1"/>
  <c r="R27" i="5" s="1"/>
  <c r="X27" i="5" l="1"/>
  <c r="W27" i="5"/>
  <c r="V27" i="5"/>
  <c r="S27" i="5"/>
  <c r="Q27" i="5"/>
  <c r="Z30" i="16" l="1"/>
  <c r="Z11" i="16"/>
  <c r="N28" i="5"/>
  <c r="Z10" i="16"/>
  <c r="Z29" i="16"/>
  <c r="O28" i="5" l="1"/>
  <c r="P28" i="5" l="1"/>
  <c r="R28" i="5" s="1"/>
  <c r="X28" i="5" l="1"/>
  <c r="W28" i="5"/>
  <c r="V28" i="5"/>
  <c r="S28" i="5"/>
  <c r="Q28" i="5"/>
  <c r="N29" i="5" l="1"/>
  <c r="AA29" i="16"/>
  <c r="AA10" i="16"/>
  <c r="AA30" i="16"/>
  <c r="AA11" i="16"/>
  <c r="O29" i="5" l="1"/>
  <c r="P29" i="5" s="1"/>
  <c r="R29" i="5" l="1"/>
  <c r="Q29" i="5"/>
  <c r="N30" i="5" l="1"/>
  <c r="AB29" i="16"/>
  <c r="AB10" i="16"/>
  <c r="V29" i="5"/>
  <c r="X29" i="5"/>
  <c r="W29" i="5"/>
  <c r="S29" i="5"/>
  <c r="AB11" i="16" l="1"/>
  <c r="AB30" i="16"/>
  <c r="O30" i="5"/>
  <c r="P30" i="5" s="1"/>
  <c r="R30" i="5" l="1"/>
  <c r="W30" i="5" s="1"/>
  <c r="Q30" i="5"/>
  <c r="N31" i="5" s="1"/>
  <c r="AC10" i="16" l="1"/>
  <c r="S30" i="5"/>
  <c r="AC11" i="16" s="1"/>
  <c r="V30" i="5"/>
  <c r="X30" i="5"/>
  <c r="AC29" i="16"/>
  <c r="O31" i="5"/>
  <c r="P31" i="5" s="1"/>
  <c r="AC30" i="16" l="1"/>
  <c r="R31" i="5"/>
  <c r="Q31" i="5"/>
  <c r="N32" i="5" l="1"/>
  <c r="AD10" i="16"/>
  <c r="AD29" i="16"/>
  <c r="X31" i="5"/>
  <c r="W31" i="5"/>
  <c r="V31" i="5"/>
  <c r="S31" i="5"/>
  <c r="O32" i="5" l="1"/>
  <c r="AD11" i="16"/>
  <c r="AD30" i="16"/>
  <c r="P32" i="5" l="1"/>
  <c r="R32" i="5" s="1"/>
  <c r="X32" i="5" l="1"/>
  <c r="W32" i="5"/>
  <c r="V32" i="5"/>
  <c r="S32" i="5"/>
  <c r="Q32" i="5"/>
  <c r="N33" i="5" l="1"/>
  <c r="AE29" i="16"/>
  <c r="AE10" i="16"/>
  <c r="AE11" i="16"/>
  <c r="AE30" i="16"/>
  <c r="O33" i="5" l="1"/>
  <c r="P33" i="5" l="1"/>
  <c r="R33" i="5" s="1"/>
  <c r="X33" i="5" l="1"/>
  <c r="W33" i="5"/>
  <c r="V33" i="5"/>
  <c r="S33" i="5"/>
  <c r="Q33" i="5"/>
  <c r="N34" i="5" l="1"/>
  <c r="AF29" i="16"/>
  <c r="AF10" i="16"/>
  <c r="AF11" i="16"/>
  <c r="AF30" i="16"/>
  <c r="O34" i="5" l="1"/>
  <c r="P34" i="5" s="1"/>
  <c r="R34" i="5" s="1"/>
  <c r="X34" i="5" l="1"/>
  <c r="W34" i="5"/>
  <c r="V34" i="5"/>
  <c r="S34" i="5"/>
  <c r="Q34" i="5"/>
  <c r="AG11" i="16" l="1"/>
  <c r="AG30" i="16"/>
  <c r="N35" i="5"/>
  <c r="AG10" i="16"/>
  <c r="AG29" i="16"/>
  <c r="O35" i="5" l="1"/>
  <c r="P35" i="5" s="1"/>
  <c r="R35" i="5" l="1"/>
  <c r="Q35" i="5"/>
  <c r="N36" i="5" l="1"/>
  <c r="AH10" i="16"/>
  <c r="AH29" i="16"/>
  <c r="X35" i="5"/>
  <c r="W35" i="5"/>
  <c r="V35" i="5"/>
  <c r="S35" i="5"/>
  <c r="AH30" i="16" l="1"/>
  <c r="AH11" i="16"/>
  <c r="O36" i="5"/>
  <c r="P36" i="5" l="1"/>
  <c r="R36" i="5" s="1"/>
  <c r="V36" i="5" l="1"/>
  <c r="W36" i="5"/>
  <c r="X36" i="5"/>
  <c r="S36" i="5"/>
  <c r="Q36" i="5"/>
  <c r="AI11" i="16" l="1"/>
  <c r="AI30" i="16"/>
  <c r="N37" i="5"/>
  <c r="AI29" i="16"/>
  <c r="AI10" i="16"/>
  <c r="O37" i="5" l="1"/>
  <c r="P37" i="5" l="1"/>
  <c r="R37" i="5" s="1"/>
  <c r="V37" i="5" l="1"/>
  <c r="X37" i="5"/>
  <c r="W37" i="5"/>
  <c r="S37" i="5"/>
  <c r="Q37" i="5"/>
  <c r="N38" i="5" l="1"/>
  <c r="AJ10" i="16"/>
  <c r="AJ29" i="16"/>
  <c r="AJ11" i="16"/>
  <c r="AJ30" i="16"/>
  <c r="O38" i="5" l="1"/>
  <c r="P38" i="5" l="1"/>
  <c r="R38" i="5" s="1"/>
  <c r="Q38" i="5" l="1"/>
  <c r="N39" i="5" s="1"/>
  <c r="W38" i="5"/>
  <c r="V38" i="5"/>
  <c r="X38" i="5"/>
  <c r="S38" i="5"/>
  <c r="AK29" i="16" l="1"/>
  <c r="AK10" i="16"/>
  <c r="AK11" i="16"/>
  <c r="AK30" i="16"/>
  <c r="O39" i="5"/>
  <c r="P39" i="5" l="1"/>
  <c r="R39" i="5" s="1"/>
  <c r="X39" i="5" l="1"/>
  <c r="W39" i="5"/>
  <c r="V39" i="5"/>
  <c r="S39" i="5"/>
  <c r="Q39" i="5"/>
  <c r="N40" i="5" l="1"/>
  <c r="AL10" i="16"/>
  <c r="AL29" i="16"/>
  <c r="AL11" i="16"/>
  <c r="AL30" i="16"/>
  <c r="O40" i="5" l="1"/>
  <c r="B6" i="6" l="1"/>
  <c r="O41" i="5"/>
  <c r="P40" i="5"/>
  <c r="R40" i="5" s="1"/>
  <c r="Q40" i="5" l="1"/>
  <c r="AM29" i="16" s="1"/>
  <c r="X40" i="5"/>
  <c r="W40" i="5"/>
  <c r="V40" i="5"/>
  <c r="B21" i="6"/>
  <c r="B22" i="6" s="1"/>
  <c r="B16" i="6"/>
  <c r="B17" i="6"/>
  <c r="AG4" i="16"/>
  <c r="D25" i="16"/>
  <c r="S40" i="5"/>
  <c r="C13" i="9"/>
  <c r="F10" i="6"/>
  <c r="D13" i="9"/>
  <c r="B7" i="6" l="1"/>
  <c r="Y4" i="16" s="1"/>
  <c r="D21" i="16"/>
  <c r="Y23" i="16" s="1"/>
  <c r="C14" i="9"/>
  <c r="E14" i="9" s="1"/>
  <c r="G14" i="9" s="1"/>
  <c r="D23" i="16"/>
  <c r="B4" i="8"/>
  <c r="B5" i="8" s="1"/>
  <c r="AM10" i="16"/>
  <c r="D44" i="1"/>
  <c r="E13" i="9"/>
  <c r="G13" i="9" s="1"/>
  <c r="AM11" i="16"/>
  <c r="AM30" i="16"/>
  <c r="C15" i="9"/>
  <c r="E15" i="9" s="1"/>
  <c r="G15" i="9" s="1"/>
  <c r="B15" i="6"/>
  <c r="D20" i="16"/>
  <c r="Y22" i="16" s="1"/>
  <c r="AM1" i="15"/>
  <c r="D6" i="1"/>
  <c r="B27" i="6"/>
  <c r="B28" i="6"/>
  <c r="B18" i="6"/>
  <c r="B29" i="6"/>
  <c r="C28" i="1" l="1"/>
  <c r="B8" i="6"/>
  <c r="F11" i="6" s="1"/>
  <c r="D22" i="1"/>
  <c r="AG1" i="15"/>
  <c r="U23" i="16"/>
  <c r="G22" i="1"/>
  <c r="C34" i="1"/>
  <c r="I33" i="1"/>
  <c r="C33" i="1"/>
  <c r="I30" i="1"/>
  <c r="C31" i="1"/>
  <c r="I27" i="1"/>
  <c r="C30" i="1"/>
  <c r="C29" i="1"/>
  <c r="I29" i="1"/>
  <c r="I34" i="1"/>
  <c r="I28" i="1"/>
  <c r="B12" i="8"/>
  <c r="D12" i="8" s="1"/>
  <c r="U20" i="16"/>
  <c r="B30" i="6"/>
  <c r="B31" i="6" s="1"/>
  <c r="Q4" i="16"/>
  <c r="AD1" i="15"/>
  <c r="U22" i="16"/>
  <c r="D21" i="1"/>
  <c r="G21" i="1"/>
  <c r="J11" i="1"/>
  <c r="C32" i="1"/>
  <c r="G6" i="1"/>
  <c r="AJ1" i="15"/>
  <c r="C27" i="1"/>
  <c r="I32" i="1"/>
  <c r="D19" i="9"/>
  <c r="I31" i="1"/>
  <c r="B9" i="6" l="1"/>
  <c r="B6" i="8" s="1"/>
  <c r="U24" i="16"/>
  <c r="B32" i="6"/>
  <c r="B33" i="6" s="1"/>
  <c r="G45" i="1"/>
  <c r="D45" i="1"/>
  <c r="G42" i="1"/>
  <c r="G44" i="1"/>
  <c r="G43" i="1"/>
  <c r="F12" i="6"/>
  <c r="G40" i="1"/>
  <c r="G38" i="1"/>
  <c r="G41" i="1"/>
  <c r="G39" i="1"/>
  <c r="Y20" i="16"/>
  <c r="U21" i="16"/>
  <c r="Y21" i="16" s="1"/>
  <c r="B10" i="6" l="1"/>
  <c r="B23" i="8" s="1"/>
  <c r="C16" i="9"/>
  <c r="B63" i="6"/>
  <c r="G49" i="1"/>
  <c r="D11" i="1"/>
  <c r="D17" i="9"/>
  <c r="D49" i="1"/>
  <c r="R1" i="15"/>
  <c r="B19" i="8"/>
  <c r="B20" i="8" s="1"/>
  <c r="B22" i="8" s="1"/>
  <c r="B62" i="6"/>
  <c r="J16" i="1" s="1"/>
  <c r="C17" i="9"/>
  <c r="F42" i="1"/>
  <c r="F38" i="1"/>
  <c r="F39" i="1"/>
  <c r="F40" i="1"/>
  <c r="F43" i="1"/>
  <c r="F41" i="1"/>
  <c r="F44" i="1"/>
  <c r="F45" i="1"/>
  <c r="B13" i="8"/>
  <c r="D13" i="8" s="1"/>
  <c r="U18" i="16"/>
  <c r="B34" i="6"/>
  <c r="E17" i="9" l="1"/>
  <c r="G17" i="9" s="1"/>
  <c r="B8" i="8"/>
  <c r="B11" i="6"/>
  <c r="B15" i="8" s="1"/>
  <c r="D15" i="8" s="1"/>
  <c r="G11" i="1"/>
  <c r="B64" i="6"/>
  <c r="B65" i="6" s="1"/>
  <c r="G50" i="1"/>
  <c r="D16" i="9"/>
  <c r="E16" i="9" s="1"/>
  <c r="G16" i="9" s="1"/>
  <c r="U1" i="15"/>
  <c r="D50" i="1"/>
  <c r="B45" i="6"/>
  <c r="X25" i="5" s="1"/>
  <c r="B49" i="6" s="1"/>
  <c r="B50" i="6" s="1"/>
  <c r="B12" i="6"/>
  <c r="J6" i="1" s="1"/>
  <c r="B16" i="8"/>
  <c r="D16" i="8" s="1"/>
  <c r="C20" i="9"/>
  <c r="B21" i="8"/>
  <c r="G16" i="1" s="1"/>
  <c r="U19" i="16"/>
  <c r="Y19" i="16" s="1"/>
  <c r="Y18" i="16"/>
  <c r="V25" i="5"/>
  <c r="W25" i="5"/>
  <c r="B55" i="6" s="1"/>
  <c r="B56" i="6" s="1"/>
  <c r="B36" i="6"/>
  <c r="B35" i="6"/>
  <c r="B37" i="6" s="1"/>
  <c r="AV1" i="15" l="1"/>
  <c r="C21" i="9"/>
  <c r="E21" i="9" s="1"/>
  <c r="G21" i="9" s="1"/>
  <c r="X1" i="15"/>
  <c r="AA1" i="15"/>
  <c r="B48" i="6"/>
  <c r="A6" i="1"/>
  <c r="B24" i="8"/>
  <c r="B46" i="6"/>
  <c r="B47" i="6" s="1"/>
  <c r="A16" i="1" s="1"/>
  <c r="B53" i="6"/>
  <c r="B54" i="6" s="1"/>
  <c r="C19" i="9"/>
  <c r="E19" i="9" s="1"/>
  <c r="G19" i="9" s="1"/>
  <c r="AP1" i="15"/>
  <c r="D16" i="1"/>
  <c r="D20" i="9" l="1"/>
  <c r="E20" i="9" s="1"/>
  <c r="G20" i="9" s="1"/>
  <c r="C22" i="9"/>
  <c r="E22" i="9" s="1"/>
  <c r="G22" i="9" s="1"/>
  <c r="C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Playbook</author>
  </authors>
  <commentList>
    <comment ref="B59" authorId="0" shapeId="0" xr:uid="{00000000-0006-0000-0200-000001000000}">
      <text>
        <r>
          <rPr>
            <sz val="10"/>
            <rFont val="Arial"/>
            <family val="2"/>
          </rPr>
          <t>Sum of unit-mix revenue x scenario price factor, plus parking.</t>
        </r>
      </text>
    </comment>
  </commentList>
</comments>
</file>

<file path=xl/sharedStrings.xml><?xml version="1.0" encoding="utf-8"?>
<sst xmlns="http://schemas.openxmlformats.org/spreadsheetml/2006/main" count="1069" uniqueCount="710">
  <si>
    <t>THE DEVELOPMENT PLAYBOOK</t>
  </si>
  <si>
    <t>Apartment Underwriting  ·  Summary Dashboard</t>
  </si>
  <si>
    <t>Every figure updates live from the model. Change the scenario on the Assumptions sheet to refresh.</t>
  </si>
  <si>
    <t>PROFIT ON COST</t>
  </si>
  <si>
    <t>EQUITY IRR (P.A.)</t>
  </si>
  <si>
    <t>EQUITY MULTIPLE</t>
  </si>
  <si>
    <t>MARGIN ON GDV</t>
  </si>
  <si>
    <t>developer profit / total cost</t>
  </si>
  <si>
    <t>levered, money-weighted</t>
  </si>
  <si>
    <t>cash returned / cash in</t>
  </si>
  <si>
    <t>profit / GDV</t>
  </si>
  <si>
    <t>GDV</t>
  </si>
  <si>
    <t>TOTAL COST</t>
  </si>
  <si>
    <t>DEVELOPER PROFIT</t>
  </si>
  <si>
    <t>PEAK EQUITY</t>
  </si>
  <si>
    <t>gross development value</t>
  </si>
  <si>
    <t>including finance</t>
  </si>
  <si>
    <t>absolute, KES</t>
  </si>
  <si>
    <t>maximum cash at risk</t>
  </si>
  <si>
    <t>PROFIT ON COST (POST-TAX)</t>
  </si>
  <si>
    <t>EQUITY IRR (POST-TAX)</t>
  </si>
  <si>
    <t>MARGIN OF SAFETY</t>
  </si>
  <si>
    <t>BTR YIELD ON COST</t>
  </si>
  <si>
    <t>net of corporate tax</t>
  </si>
  <si>
    <t>levered, after tax</t>
  </si>
  <si>
    <t>price fall the deal survives</t>
  </si>
  <si>
    <t>if held, not sold</t>
  </si>
  <si>
    <t>CAPITAL  ·  peak equity vs peak debt</t>
  </si>
  <si>
    <t>Peak equity</t>
  </si>
  <si>
    <t>Peak debt</t>
  </si>
  <si>
    <t>Land is funded as first-in equity; the facility draws against construction and is repaid from sales.</t>
  </si>
  <si>
    <t>FUNDING PROFILE  ·  debt &amp; equity outstanding over time</t>
  </si>
  <si>
    <t>Month</t>
  </si>
  <si>
    <t>Debt m</t>
  </si>
  <si>
    <t>Equity m</t>
  </si>
  <si>
    <t>Month 0</t>
  </si>
  <si>
    <t>Month 3</t>
  </si>
  <si>
    <t>Month 6</t>
  </si>
  <si>
    <t>Month 9</t>
  </si>
  <si>
    <t>Month 12</t>
  </si>
  <si>
    <t>Month 15</t>
  </si>
  <si>
    <t>Month 18</t>
  </si>
  <si>
    <t>Month 21</t>
  </si>
  <si>
    <t>Debt (slate) builds through construction then is repaid from sales; equity (terracotta) is the cash outstanding at each point.</t>
  </si>
  <si>
    <t>USES OF FUNDS</t>
  </si>
  <si>
    <t>Land + acquisition</t>
  </si>
  <si>
    <t>Construction</t>
  </si>
  <si>
    <t>Professional fees</t>
  </si>
  <si>
    <t>Contingency</t>
  </si>
  <si>
    <t>Statutory</t>
  </si>
  <si>
    <t>Marketing</t>
  </si>
  <si>
    <t>Interest</t>
  </si>
  <si>
    <t>Arrangement fee</t>
  </si>
  <si>
    <t>GDV  ·  TOTAL COST  ·  DEVELOPER PROFIT</t>
  </si>
  <si>
    <t>Total cost</t>
  </si>
  <si>
    <t>Developer profit</t>
  </si>
  <si>
    <t>Lender tests, break-even and tornado are on the Lender &amp; Risk sheet; full charts also live on the Cashflow and Returns sheets.</t>
  </si>
  <si>
    <t>A teaching and underwriting model, not investment advice. Re-verify before committing capital.</t>
  </si>
  <si>
    <t>Apartment Underwriting Model</t>
  </si>
  <si>
    <t>A full development appraisal: scenario inputs, a monthly cashflow engine, levered returns, and a JV waterfall.</t>
  </si>
  <si>
    <t>What this model does</t>
  </si>
  <si>
    <t>It underwrites a residential apartment scheme from land to exit. You set the unit mix, scheme, cost, finance, timing and JV terms on the Assumptions sheet. The model builds a month-by-month cashflow, sizes a revolving construction facility, rolls up interest, and reports the deal at both the project and the equity level.</t>
  </si>
  <si>
    <t>The sheets</t>
  </si>
  <si>
    <t>Cashflow  -  the engine. Construction is drawn on an S-curve; pre-sales are phased from your sales-start month at your absorption rate; deposits land on reservation and balances on practical completion; the facility draws to a loan-to-cost cap and is repaid from sales receipts with interest rolled up.</t>
  </si>
  <si>
    <t>Returns &amp; Waterfall  -  GDV, total cost including finance, developer profit, profit on cost, margin, peak debt and peak equity, then unlevered and levered IRR, equity multiple, NPV, and a two-tier LP/GP pref-and-promote split.</t>
  </si>
  <si>
    <t>Sensitivity  -  two-way grids showing how profit on cost moves with sale price against build cost, and against the interest rate. Shaded so the cliff edges are obvious.</t>
  </si>
  <si>
    <t>Conventions</t>
  </si>
  <si>
    <t>A teaching and underwriting model, not investment advice. Re-verify every figure before committing capital.</t>
  </si>
  <si>
    <t>Apartment Underwriting  ·  Assumptions</t>
  </si>
  <si>
    <t>Active scenario</t>
  </si>
  <si>
    <t>Unit type</t>
  </si>
  <si>
    <t>Units</t>
  </si>
  <si>
    <t>Size m2</t>
  </si>
  <si>
    <t>Price/m2</t>
  </si>
  <si>
    <t>Area m2</t>
  </si>
  <si>
    <t>Revenue</t>
  </si>
  <si>
    <t>Studio</t>
  </si>
  <si>
    <t>1-bed</t>
  </si>
  <si>
    <t>2-bed</t>
  </si>
  <si>
    <t>3-bed</t>
  </si>
  <si>
    <t>Penthouse</t>
  </si>
  <si>
    <t>Total residential</t>
  </si>
  <si>
    <t>Parking bays</t>
  </si>
  <si>
    <t>price/bay -&gt;</t>
  </si>
  <si>
    <t>SCENARIO DRIVERS</t>
  </si>
  <si>
    <t>Driver</t>
  </si>
  <si>
    <t>Base</t>
  </si>
  <si>
    <t>Downside</t>
  </si>
  <si>
    <t>Upside</t>
  </si>
  <si>
    <t>Live</t>
  </si>
  <si>
    <t>Sale price factor (x)</t>
  </si>
  <si>
    <t>Build cost / m2 GFA</t>
  </si>
  <si>
    <t>Interest rate (p.a.)</t>
  </si>
  <si>
    <t>Absorption (units / month)</t>
  </si>
  <si>
    <t>SCHEME &amp; AREAS</t>
  </si>
  <si>
    <t>Net saleable efficiency (NSA / GFA)</t>
  </si>
  <si>
    <t>Gross floor area (GFA)</t>
  </si>
  <si>
    <t>NSA / efficiency</t>
  </si>
  <si>
    <t>COSTS</t>
  </si>
  <si>
    <t>Professional fees (% of construction)</t>
  </si>
  <si>
    <t>Statutory &amp; connection fees (lump)</t>
  </si>
  <si>
    <t>Contingency (% of constr + fees)</t>
  </si>
  <si>
    <t>Marketing &amp; sales (% of GDV)</t>
  </si>
  <si>
    <t>Land price</t>
  </si>
  <si>
    <t>Acquisition costs (% of land)</t>
  </si>
  <si>
    <t>stamp duty, legal</t>
  </si>
  <si>
    <t>FINANCE</t>
  </si>
  <si>
    <t>Loan-to-cost cap (%)</t>
  </si>
  <si>
    <t>Arrangement fee (% of peak facility)</t>
  </si>
  <si>
    <t>TIMING</t>
  </si>
  <si>
    <t>Pre-construction (months)</t>
  </si>
  <si>
    <t>Construction (months)</t>
  </si>
  <si>
    <t>Sales start (month #)</t>
  </si>
  <si>
    <t>Deposit on reservation (%)</t>
  </si>
  <si>
    <t>JV WATERFALL</t>
  </si>
  <si>
    <t>LP equity share (%)</t>
  </si>
  <si>
    <t>GP equity share (%)</t>
  </si>
  <si>
    <t>Preferred return to LP (p.a. %)</t>
  </si>
  <si>
    <t>GP promote above pref (%)</t>
  </si>
  <si>
    <t>OTHER</t>
  </si>
  <si>
    <t>Discount rate for NPV (p.a. %)</t>
  </si>
  <si>
    <t>LIVE MODEL VALUES  (auto-calculated)</t>
  </si>
  <si>
    <t>Total units</t>
  </si>
  <si>
    <t>Net saleable area (m2)</t>
  </si>
  <si>
    <t>Gross floor area (m2)</t>
  </si>
  <si>
    <t>GDV residential (live)</t>
  </si>
  <si>
    <t>Parking revenue</t>
  </si>
  <si>
    <t>GDV total (live)</t>
  </si>
  <si>
    <t>Avg price / residential unit</t>
  </si>
  <si>
    <t>Construction cost</t>
  </si>
  <si>
    <t>Statutory &amp; connection</t>
  </si>
  <si>
    <t>Soft costs (fees+cont+stat)</t>
  </si>
  <si>
    <t>Dev cost excl finance</t>
  </si>
  <si>
    <t>Completion month</t>
  </si>
  <si>
    <t>Monthly interest rate</t>
  </si>
  <si>
    <t>ESCALATION &amp; TAX</t>
  </si>
  <si>
    <t>Sale price escalation (p.a.)</t>
  </si>
  <si>
    <t>off-plan uplift</t>
  </si>
  <si>
    <t>Build cost escalation (p.a.)</t>
  </si>
  <si>
    <t>Corporate tax on profit</t>
  </si>
  <si>
    <t>LENDER COVENANTS</t>
  </si>
  <si>
    <t>Pre-sale covenant (% units to draw debt)</t>
  </si>
  <si>
    <t>Loan-to-GDV cap</t>
  </si>
  <si>
    <t>BUILD-TO-RENT EXIT</t>
  </si>
  <si>
    <t>Stabilised rent / m2 / month</t>
  </si>
  <si>
    <t>Vacancy &amp; bad debt</t>
  </si>
  <si>
    <t>Operating expense ratio</t>
  </si>
  <si>
    <t>Exit cap rate</t>
  </si>
  <si>
    <t>LIVE (escalation, auto)</t>
  </si>
  <si>
    <t>Monthly price escalation</t>
  </si>
  <si>
    <t>Monthly cost escalation</t>
  </si>
  <si>
    <t>Sales Schedule  ·  per-type pricing, absorption &amp; payment plan</t>
  </si>
  <si>
    <t>Base price/m2</t>
  </si>
  <si>
    <t>Launch mo</t>
  </si>
  <si>
    <t>Absorp /mo</t>
  </si>
  <si>
    <t>Escal p.a.</t>
  </si>
  <si>
    <t>Launch disc</t>
  </si>
  <si>
    <t>Disc first N</t>
  </si>
  <si>
    <t>PAYMENT PLAN (multi-stage)  ·  applied to every sale</t>
  </si>
  <si>
    <t>Stage 1  Booking deposit (%)</t>
  </si>
  <si>
    <t>at reservation</t>
  </si>
  <si>
    <t>Stage 2  During construction (%)</t>
  </si>
  <si>
    <t>collected at milestone month</t>
  </si>
  <si>
    <t>Stage 2  milestone month</t>
  </si>
  <si>
    <t>e.g. on structure</t>
  </si>
  <si>
    <t>Stage 3  Handover balance (%)</t>
  </si>
  <si>
    <t>at practical completion</t>
  </si>
  <si>
    <t>Stages total (must = 100%)</t>
  </si>
  <si>
    <t>Agent commission per sale (%)</t>
  </si>
  <si>
    <t>selling cost, on contract value</t>
  </si>
  <si>
    <t>Scenario price factor (Assumptions) multiplies every base price; build-cost and rate scenarios stay on the cash engine.</t>
  </si>
  <si>
    <t>Studio u</t>
  </si>
  <si>
    <t>1-bed u</t>
  </si>
  <si>
    <t>2-bed u</t>
  </si>
  <si>
    <t>3-bed u</t>
  </si>
  <si>
    <t>Penth u</t>
  </si>
  <si>
    <t>Park u</t>
  </si>
  <si>
    <t>Apt units</t>
  </si>
  <si>
    <t>Cum apt</t>
  </si>
  <si>
    <t>Studio val</t>
  </si>
  <si>
    <t>1-bed val</t>
  </si>
  <si>
    <t>2-bed val</t>
  </si>
  <si>
    <t>3-bed val</t>
  </si>
  <si>
    <t>Penth val</t>
  </si>
  <si>
    <t>Park val</t>
  </si>
  <si>
    <t>Contracted</t>
  </si>
  <si>
    <t>Cum contr</t>
  </si>
  <si>
    <t>Booking</t>
  </si>
  <si>
    <t>Stage 2</t>
  </si>
  <si>
    <t>Handover</t>
  </si>
  <si>
    <t>Receipts</t>
  </si>
  <si>
    <t>Commission</t>
  </si>
  <si>
    <t>Total</t>
  </si>
  <si>
    <t>Receipts total equals Contracted total when stages sum to 100%; Contracted total is the bottom-up GDV the cash engine uses.</t>
  </si>
  <si>
    <t>Apartment Underwriting  ·  Monthly Cashflow</t>
  </si>
  <si>
    <t>Constr draw</t>
  </si>
  <si>
    <t>Soft costs</t>
  </si>
  <si>
    <t>Land+acq</t>
  </si>
  <si>
    <t>Units sold</t>
  </si>
  <si>
    <t>Cum units</t>
  </si>
  <si>
    <t>Deposits</t>
  </si>
  <si>
    <t>Balances</t>
  </si>
  <si>
    <t>Equity drawn</t>
  </si>
  <si>
    <t>Debt drawn</t>
  </si>
  <si>
    <t>Opening debt</t>
  </si>
  <si>
    <t>Repayment</t>
  </si>
  <si>
    <t>Closing debt</t>
  </si>
  <si>
    <t>Equity CF</t>
  </si>
  <si>
    <t>Cum equity</t>
  </si>
  <si>
    <t>Unlev CF</t>
  </si>
  <si>
    <t>wt</t>
  </si>
  <si>
    <t>LP CF</t>
  </si>
  <si>
    <t>GP CF</t>
  </si>
  <si>
    <t>Post-tax CF</t>
  </si>
  <si>
    <t>Returns &amp; Waterfall</t>
  </si>
  <si>
    <t>PROJECT</t>
  </si>
  <si>
    <t>Gross development value (realised)</t>
  </si>
  <si>
    <t>Development cost excl finance</t>
  </si>
  <si>
    <t>Construction-period interest</t>
  </si>
  <si>
    <t>Total cost incl finance</t>
  </si>
  <si>
    <t>Marketing &amp; sales</t>
  </si>
  <si>
    <t>Profit on cost</t>
  </si>
  <si>
    <t>Margin on GDV</t>
  </si>
  <si>
    <t>Total uses</t>
  </si>
  <si>
    <t>EQUITY</t>
  </si>
  <si>
    <t>Equity invested (total)</t>
  </si>
  <si>
    <t>Equity returned (total)</t>
  </si>
  <si>
    <t>Equity multiple</t>
  </si>
  <si>
    <t>Project IRR (monthly)</t>
  </si>
  <si>
    <t>Project IRR (per annum)</t>
  </si>
  <si>
    <t>Equity IRR (monthly)</t>
  </si>
  <si>
    <t>Equity IRR (per annum)</t>
  </si>
  <si>
    <t>Project NPV @ discount rate</t>
  </si>
  <si>
    <t>JV WATERFALL  (illustrative pref + promote)</t>
  </si>
  <si>
    <t>Project span (years)</t>
  </si>
  <si>
    <t>LP invested</t>
  </si>
  <si>
    <t>GP invested</t>
  </si>
  <si>
    <t>Total equity profit</t>
  </si>
  <si>
    <t>LP preferred (accrued)</t>
  </si>
  <si>
    <t>Preferred paid</t>
  </si>
  <si>
    <t>Residual after pref</t>
  </si>
  <si>
    <t>GP promote</t>
  </si>
  <si>
    <t>LP profit</t>
  </si>
  <si>
    <t>GP profit</t>
  </si>
  <si>
    <t>LP equity multiple</t>
  </si>
  <si>
    <t>GP equity multiple</t>
  </si>
  <si>
    <t>CHECK</t>
  </si>
  <si>
    <t>Sales uplift from escalation</t>
  </si>
  <si>
    <t>Realised GDV above base reflects sale-price escalation over the sell-out.</t>
  </si>
  <si>
    <t>TAX &amp; POST-TAX RETURNS</t>
  </si>
  <si>
    <t>Corporate tax rate</t>
  </si>
  <si>
    <t>Tax on profit</t>
  </si>
  <si>
    <t>Profit after tax</t>
  </si>
  <si>
    <t>Profit on cost (after tax)</t>
  </si>
  <si>
    <t>Equity multiple (after tax)</t>
  </si>
  <si>
    <t>Post-tax equity IRR (monthly)</t>
  </si>
  <si>
    <t>Post-tax equity IRR (per annum)</t>
  </si>
  <si>
    <t>EQUITY PARTNERS  (IRR)</t>
  </si>
  <si>
    <t>LP IRR (monthly)</t>
  </si>
  <si>
    <t>LP IRR (per annum)</t>
  </si>
  <si>
    <t>GP IRR (monthly)</t>
  </si>
  <si>
    <t>GP IRR (per annum)</t>
  </si>
  <si>
    <t>EXIT  ·  build-to-sell vs build-to-rent</t>
  </si>
  <si>
    <t>Stabilised annual NOI</t>
  </si>
  <si>
    <t>Exit value @ cap rate</t>
  </si>
  <si>
    <t>BTR yield on cost</t>
  </si>
  <si>
    <t>Build-to-rent profit</t>
  </si>
  <si>
    <t>Build-to-sell profit</t>
  </si>
  <si>
    <t>Preferred exit</t>
  </si>
  <si>
    <t>Sensitivity  ·  Profit on cost</t>
  </si>
  <si>
    <t>columns = sale price factor   ·   rows = build cost / m2</t>
  </si>
  <si>
    <t>build \ price</t>
  </si>
  <si>
    <t>columns = sale price factor   ·   rows = interest rate (p.a.)</t>
  </si>
  <si>
    <t>rate \ price</t>
  </si>
  <si>
    <t>Indicative: the sensitivity grids use an analytic finance approximation (average drawn balance), so the base cell sits close to but not identical to the monthly engine on the Returns sheet. For an exact two-way table, run Excel's Data Table on the live model.</t>
  </si>
  <si>
    <t>Lender &amp; Risk</t>
  </si>
  <si>
    <t>LENDER METRICS</t>
  </si>
  <si>
    <t>Loan-to-GDV</t>
  </si>
  <si>
    <t>Peak loan-to-cost</t>
  </si>
  <si>
    <t>% pre-sold at completion</t>
  </si>
  <si>
    <t>Interest cover (profit / interest)</t>
  </si>
  <si>
    <t>COVENANT TESTS</t>
  </si>
  <si>
    <t>Test</t>
  </si>
  <si>
    <t>Value</t>
  </si>
  <si>
    <t>Threshold</t>
  </si>
  <si>
    <t>Status</t>
  </si>
  <si>
    <t>Loan-to-GDV &lt;= cap</t>
  </si>
  <si>
    <t>Peak loan-to-cost &lt;= cap</t>
  </si>
  <si>
    <t>Pre-sold &gt;= covenant</t>
  </si>
  <si>
    <t>Profit on cost &gt;= 15%</t>
  </si>
  <si>
    <t>Developer profit &gt; 0</t>
  </si>
  <si>
    <t>BREAK-EVEN &amp; MARGIN OF SAFETY</t>
  </si>
  <si>
    <t>Fixed cost (excl marketing)</t>
  </si>
  <si>
    <t>Break-even GDV</t>
  </si>
  <si>
    <t>Margin of safety on price</t>
  </si>
  <si>
    <t>Break-even avg price / m2</t>
  </si>
  <si>
    <t>Max construction overrun</t>
  </si>
  <si>
    <t>Profit-on-cost cushion vs 15%</t>
  </si>
  <si>
    <t>Break-even holds finance and absorption at base; an indicative analytic test, not a re-run of the monthly engine.</t>
  </si>
  <si>
    <t>TORNADO  ·  profit swing by driver (KES)</t>
  </si>
  <si>
    <t>Low</t>
  </si>
  <si>
    <t>High</t>
  </si>
  <si>
    <t>Sale price (-/+ scenario)</t>
  </si>
  <si>
    <t>Build cost (worse/better)</t>
  </si>
  <si>
    <t>Interest rate (higher/lower)</t>
  </si>
  <si>
    <t>Bar length is the profit swing between the downside and upside of each driver, holding the others at the active scenario.</t>
  </si>
  <si>
    <t>Assumptions  -  every terracotta input cell is yours to change. A scenario switch (1 Base / 2 Downside / 3 Upside) flips the four key drivers at once. A LIVE block at the foot computes the aggregates the engine reads.</t>
  </si>
  <si>
    <t>Terracotta = input you change. Black = formula. All figures in KES unless a header says otherwise. Interest is charged on the opening facility balance each month and capitalised (rolled up), repaid from sales. The waterfall pref and promote are illustrative; replace with your actual JV terms.</t>
  </si>
  <si>
    <t>UNIT MIX  (edit terracotta cells)</t>
  </si>
  <si>
    <t>UNIT-TYPE SALES DRIVERS  (terracotta = edit; moss = linked)</t>
  </si>
  <si>
    <t>Apartment Underwriting  /  Model Checks</t>
  </si>
  <si>
    <t>MODEL STATUS</t>
  </si>
  <si>
    <t>Each row tests one assertion. A REVIEW status identifies the exact model area that needs attention before an investment decision.</t>
  </si>
  <si>
    <t>No.</t>
  </si>
  <si>
    <t>Check</t>
  </si>
  <si>
    <t>Actual</t>
  </si>
  <si>
    <t>Expected</t>
  </si>
  <si>
    <t>Difference</t>
  </si>
  <si>
    <t>Tolerance</t>
  </si>
  <si>
    <t>Review note</t>
  </si>
  <si>
    <t>Scenario selector is valid</t>
  </si>
  <si>
    <t>Valid range: 1-3</t>
  </si>
  <si>
    <t>Select 1 Base, 2 Downside, or 3 Upside on Assumptions.</t>
  </si>
  <si>
    <t>Unit mix reconciles to sales schedule</t>
  </si>
  <si>
    <t>Total apartment units should agree across assumptions and sales.</t>
  </si>
  <si>
    <t>Payment stages total 100%</t>
  </si>
  <si>
    <t>Booking, construction and handover stages must sum to 100%.</t>
  </si>
  <si>
    <t>Contracted sales equal total receipts</t>
  </si>
  <si>
    <t>All contracted value should be collected when payment stages total 100%.</t>
  </si>
  <si>
    <t>Cashflow unit sales reconcile</t>
  </si>
  <si>
    <t>Monthly unit sales should equal the underwritten residential unit count.</t>
  </si>
  <si>
    <t>Cash receipts reconcile to sales schedule</t>
  </si>
  <si>
    <t>Cash engine receipts should equal the sales schedule receipts.</t>
  </si>
  <si>
    <t>Development cost reconciles</t>
  </si>
  <si>
    <t>Monthly development costs should tie to the project return summary.</t>
  </si>
  <si>
    <t>Construction-period interest reconciles</t>
  </si>
  <si>
    <t>Capitalised monthly interest should tie to the return summary.</t>
  </si>
  <si>
    <t>Debt roll-forward balances</t>
  </si>
  <si>
    <t>Closing debt must equal opening debt plus draw and interest less repayment.</t>
  </si>
  <si>
    <t>Cumulative equity roll-forward balances</t>
  </si>
  <si>
    <t>Cumulative equity must equal the prior balance plus current equity cash flow.</t>
  </si>
  <si>
    <t>Developer profit bridge</t>
  </si>
  <si>
    <t>Developer profit must equal realised GDV less total cost including finance.</t>
  </si>
  <si>
    <t>Uses of funds bridge to total cost</t>
  </si>
  <si>
    <t>JV equity shares total 100%</t>
  </si>
  <si>
    <t>LP and GP equity contribution shares must sum to 100%.</t>
  </si>
  <si>
    <t>Waterfall profit allocation reconciles</t>
  </si>
  <si>
    <t>LP and GP profits must allocate the full equity profit.</t>
  </si>
  <si>
    <t>Post-tax profit reconciles</t>
  </si>
  <si>
    <t>Post-tax profit should equal pre-tax profit less corporate tax.</t>
  </si>
  <si>
    <t>All lender covenants pass</t>
  </si>
  <si>
    <t>Review the Lender &amp; Risk sheet if fewer than five tests pass.</t>
  </si>
  <si>
    <t>No formula errors in key model ranges</t>
  </si>
  <si>
    <t>Any Excel formula error in the core model ranges triggers review.</t>
  </si>
  <si>
    <t>The uses table plus construction and soft-cost escalation should equal total development cost.</t>
  </si>
  <si>
    <t>Apartment Underwriting  /  Sources &amp; Assumptions Register</t>
  </si>
  <si>
    <t>DOCUMENTATION STATUS</t>
  </si>
  <si>
    <t>Current values are linked to the live model. Fill the terracotta evidence fields; do not overwrite the linked model value.</t>
  </si>
  <si>
    <t>Evidence quality does not alter model calculations. It records whether each underwriting assumption is sufficiently supported for review.</t>
  </si>
  <si>
    <t>Category</t>
  </si>
  <si>
    <t>Assumption</t>
  </si>
  <si>
    <t>Model cell</t>
  </si>
  <si>
    <t>Current value</t>
  </si>
  <si>
    <t>Unit</t>
  </si>
  <si>
    <t>Evidence required</t>
  </si>
  <si>
    <t>Source / URL / file</t>
  </si>
  <si>
    <t>As-of date</t>
  </si>
  <si>
    <t>Owner</t>
  </si>
  <si>
    <t>Confidence</t>
  </si>
  <si>
    <t>Notes</t>
  </si>
  <si>
    <t>Control</t>
  </si>
  <si>
    <t>1 Base / 2 Downside / 3 Upside</t>
  </si>
  <si>
    <t>Internal model control</t>
  </si>
  <si>
    <t>TBD</t>
  </si>
  <si>
    <t>Selects the live scenario drivers.</t>
  </si>
  <si>
    <t>Unit mix</t>
  </si>
  <si>
    <t>Studio units</t>
  </si>
  <si>
    <t>units</t>
  </si>
  <si>
    <t>Project brief / design schedule</t>
  </si>
  <si>
    <t>Residential unit count.</t>
  </si>
  <si>
    <t>Studio size</t>
  </si>
  <si>
    <t>m2</t>
  </si>
  <si>
    <t>Average saleable area per unit.</t>
  </si>
  <si>
    <t>Studio asking price</t>
  </si>
  <si>
    <t>KES / m2</t>
  </si>
  <si>
    <t>Comparable sales / broker evidence</t>
  </si>
  <si>
    <t>Current base asking price assumption.</t>
  </si>
  <si>
    <t>1-bed units</t>
  </si>
  <si>
    <t>1-bed size</t>
  </si>
  <si>
    <t>1-bed asking price</t>
  </si>
  <si>
    <t>2-bed units</t>
  </si>
  <si>
    <t>2-bed size</t>
  </si>
  <si>
    <t>2-bed asking price</t>
  </si>
  <si>
    <t>3-bed units</t>
  </si>
  <si>
    <t>3-bed size</t>
  </si>
  <si>
    <t>3-bed asking price</t>
  </si>
  <si>
    <t>Penthouse units</t>
  </si>
  <si>
    <t>Penthouse size</t>
  </si>
  <si>
    <t>Penthouse asking price</t>
  </si>
  <si>
    <t>bays</t>
  </si>
  <si>
    <t>Project brief / planning schedule</t>
  </si>
  <si>
    <t>Saleable parking inventory.</t>
  </si>
  <si>
    <t>Parking price</t>
  </si>
  <si>
    <t>KES / bay</t>
  </si>
  <si>
    <t>Current base parking price.</t>
  </si>
  <si>
    <t>Scenario</t>
  </si>
  <si>
    <t>Base sale price factor</t>
  </si>
  <si>
    <t>x</t>
  </si>
  <si>
    <t>Investment case assumption</t>
  </si>
  <si>
    <t>Base scenario price factor.</t>
  </si>
  <si>
    <t>Downside sale price factor</t>
  </si>
  <si>
    <t>Downside rationale / market volatility</t>
  </si>
  <si>
    <t>Price stress case.</t>
  </si>
  <si>
    <t>Upside sale price factor</t>
  </si>
  <si>
    <t>Upside rationale / market evidence</t>
  </si>
  <si>
    <t>Price upside case.</t>
  </si>
  <si>
    <t>Base build cost</t>
  </si>
  <si>
    <t>KES / m2 GFA</t>
  </si>
  <si>
    <t>QS estimate / tender benchmark</t>
  </si>
  <si>
    <t>Base construction rate.</t>
  </si>
  <si>
    <t>Downside build cost</t>
  </si>
  <si>
    <t>QS downside / escalation evidence</t>
  </si>
  <si>
    <t>Cost stress case.</t>
  </si>
  <si>
    <t>Upside build cost</t>
  </si>
  <si>
    <t>QS value-engineering evidence</t>
  </si>
  <si>
    <t>Cost upside case.</t>
  </si>
  <si>
    <t>Base interest rate</t>
  </si>
  <si>
    <t>% p.a.</t>
  </si>
  <si>
    <t>Lender term sheet / market quote</t>
  </si>
  <si>
    <t>Base facility rate.</t>
  </si>
  <si>
    <t>Downside interest rate</t>
  </si>
  <si>
    <t>Rate stress rationale</t>
  </si>
  <si>
    <t>Debt pricing stress case.</t>
  </si>
  <si>
    <t>Upside interest rate</t>
  </si>
  <si>
    <t>Lender quote / rate outlook</t>
  </si>
  <si>
    <t>Debt pricing upside case.</t>
  </si>
  <si>
    <t>Base absorption</t>
  </si>
  <si>
    <t>units / month</t>
  </si>
  <si>
    <t>Comparable project sales evidence</t>
  </si>
  <si>
    <t>Base sales velocity.</t>
  </si>
  <si>
    <t>Downside absorption</t>
  </si>
  <si>
    <t>Downside sales evidence</t>
  </si>
  <si>
    <t>Sales velocity stress case.</t>
  </si>
  <si>
    <t>Upside absorption</t>
  </si>
  <si>
    <t>Sales velocity upside case.</t>
  </si>
  <si>
    <t>Scheme</t>
  </si>
  <si>
    <t>Net saleable efficiency</t>
  </si>
  <si>
    <t>% NSA / GFA</t>
  </si>
  <si>
    <t>Architect area schedule</t>
  </si>
  <si>
    <t>Residential saleable efficiency.</t>
  </si>
  <si>
    <t>Gross floor area</t>
  </si>
  <si>
    <t>Architect area schedule / approval</t>
  </si>
  <si>
    <t>Current scheme GFA.</t>
  </si>
  <si>
    <t>Cost</t>
  </si>
  <si>
    <t>% construction</t>
  </si>
  <si>
    <t>Consultant proposals / benchmark</t>
  </si>
  <si>
    <t>Professional fee allowance.</t>
  </si>
  <si>
    <t>Statutory and connection fees</t>
  </si>
  <si>
    <t>KES</t>
  </si>
  <si>
    <t>Authority fee schedules / utility quotes</t>
  </si>
  <si>
    <t>Lump-sum statutory allowance.</t>
  </si>
  <si>
    <t>% construction + fees</t>
  </si>
  <si>
    <t>Cost plan risk assessment</t>
  </si>
  <si>
    <t>Project contingency.</t>
  </si>
  <si>
    <t>Marketing and sales</t>
  </si>
  <si>
    <t>% GDV</t>
  </si>
  <si>
    <t>Sales strategy / agency proposals</t>
  </si>
  <si>
    <t>Marketing cost excluding sales commission.</t>
  </si>
  <si>
    <t>Land</t>
  </si>
  <si>
    <t>Offer / valuation / SPA</t>
  </si>
  <si>
    <t>Acquisition consideration.</t>
  </si>
  <si>
    <t>Acquisition costs</t>
  </si>
  <si>
    <t>% land</t>
  </si>
  <si>
    <t>Legal and tax estimate</t>
  </si>
  <si>
    <t>Stamp duty, legal and transaction costs.</t>
  </si>
  <si>
    <t>Finance</t>
  </si>
  <si>
    <t>Loan-to-cost cap</t>
  </si>
  <si>
    <t>%</t>
  </si>
  <si>
    <t>Lender term sheet</t>
  </si>
  <si>
    <t>Maximum construction facility LTC.</t>
  </si>
  <si>
    <t>% peak facility</t>
  </si>
  <si>
    <t>Debt arrangement fee.</t>
  </si>
  <si>
    <t>Programme</t>
  </si>
  <si>
    <t>Pre-construction period</t>
  </si>
  <si>
    <t>months</t>
  </si>
  <si>
    <t>Development programme</t>
  </si>
  <si>
    <t>Design and approval period.</t>
  </si>
  <si>
    <t>Construction period</t>
  </si>
  <si>
    <t>Contractor / project programme</t>
  </si>
  <si>
    <t>Construction duration.</t>
  </si>
  <si>
    <t>Sales start month</t>
  </si>
  <si>
    <t>month #</t>
  </si>
  <si>
    <t>Sales strategy / programme</t>
  </si>
  <si>
    <t>Month in which sales activity begins.</t>
  </si>
  <si>
    <t>Sales terms</t>
  </si>
  <si>
    <t>Reservation deposit</t>
  </si>
  <si>
    <t>Sales policy</t>
  </si>
  <si>
    <t>Initial reservation deposit assumption.</t>
  </si>
  <si>
    <t>JV</t>
  </si>
  <si>
    <t>LP equity share</t>
  </si>
  <si>
    <t>JV term sheet</t>
  </si>
  <si>
    <t>LP share of equity contributions.</t>
  </si>
  <si>
    <t>GP equity share</t>
  </si>
  <si>
    <t>GP share of equity contributions.</t>
  </si>
  <si>
    <t>LP preferred return</t>
  </si>
  <si>
    <t>Annual preferred return.</t>
  </si>
  <si>
    <t>% residual</t>
  </si>
  <si>
    <t>GP promote above the preferred return.</t>
  </si>
  <si>
    <t>Returns</t>
  </si>
  <si>
    <t>NPV discount rate</t>
  </si>
  <si>
    <t>Investment policy / hurdle rate</t>
  </si>
  <si>
    <t>Discount rate used for project NPV.</t>
  </si>
  <si>
    <t>Escalation</t>
  </si>
  <si>
    <t>Sale price escalation</t>
  </si>
  <si>
    <t>Market forecast / comparable trend</t>
  </si>
  <si>
    <t>Annual off-plan price uplift.</t>
  </si>
  <si>
    <t>Build cost escalation</t>
  </si>
  <si>
    <t>QS inflation forecast</t>
  </si>
  <si>
    <t>Annual construction cost inflation.</t>
  </si>
  <si>
    <t>Tax</t>
  </si>
  <si>
    <t>Tax adviser / legislation</t>
  </si>
  <si>
    <t>Illustrative corporate tax rate.</t>
  </si>
  <si>
    <t>Pre-sale covenant</t>
  </si>
  <si>
    <t>% units</t>
  </si>
  <si>
    <t>Minimum presales required before debt draw.</t>
  </si>
  <si>
    <t>Maximum facility relative to GDV.</t>
  </si>
  <si>
    <t>Build-to-rent</t>
  </si>
  <si>
    <t>Stabilised rent</t>
  </si>
  <si>
    <t>KES / m2 / month</t>
  </si>
  <si>
    <t>Rental comparables / valuation</t>
  </si>
  <si>
    <t>Stabilised residential rent.</t>
  </si>
  <si>
    <t>Vacancy and bad debt</t>
  </si>
  <si>
    <t>% gross rent</t>
  </si>
  <si>
    <t>Market evidence / operator budget</t>
  </si>
  <si>
    <t>Income loss allowance.</t>
  </si>
  <si>
    <t>% effective income</t>
  </si>
  <si>
    <t>Operator budget / benchmarks</t>
  </si>
  <si>
    <t>Stabilised operating cost ratio.</t>
  </si>
  <si>
    <t>Investment market evidence / valuation</t>
  </si>
  <si>
    <t>Capitalisation rate for BTR exit.</t>
  </si>
  <si>
    <t>Sales schedule</t>
  </si>
  <si>
    <t>Studio launch month</t>
  </si>
  <si>
    <t>Sales strategy</t>
  </si>
  <si>
    <t>Unit-type sales launch.</t>
  </si>
  <si>
    <t>Studio absorption</t>
  </si>
  <si>
    <t>Unit-type sales velocity.</t>
  </si>
  <si>
    <t>Studio launch discount</t>
  </si>
  <si>
    <t>Opening release discount.</t>
  </si>
  <si>
    <t>1-bed launch month</t>
  </si>
  <si>
    <t>1-bed absorption</t>
  </si>
  <si>
    <t>1-bed launch discount</t>
  </si>
  <si>
    <t>2-bed launch month</t>
  </si>
  <si>
    <t>2-bed absorption</t>
  </si>
  <si>
    <t>2-bed launch discount</t>
  </si>
  <si>
    <t>3-bed launch month</t>
  </si>
  <si>
    <t>3-bed absorption</t>
  </si>
  <si>
    <t>Penthouse launch month</t>
  </si>
  <si>
    <t>Parking launch month</t>
  </si>
  <si>
    <t>Parking sales launch.</t>
  </si>
  <si>
    <t>Booking deposit</t>
  </si>
  <si>
    <t>% contract</t>
  </si>
  <si>
    <t>Sales policy / buyer terms</t>
  </si>
  <si>
    <t>Stage 1 payment.</t>
  </si>
  <si>
    <t>Construction instalment</t>
  </si>
  <si>
    <t>Stage 2 payment.</t>
  </si>
  <si>
    <t>Construction milestone</t>
  </si>
  <si>
    <t>Sales policy / programme</t>
  </si>
  <si>
    <t>Month Stage 2 is collected.</t>
  </si>
  <si>
    <t>Handover balance</t>
  </si>
  <si>
    <t>Stage 3 payment.</t>
  </si>
  <si>
    <t>Agent commission</t>
  </si>
  <si>
    <t>Agency proposal / sales budget</t>
  </si>
  <si>
    <t>Commission charged on contract value.</t>
  </si>
  <si>
    <t>Apartment Underwriting  /  Scenario Comparison</t>
  </si>
  <si>
    <t>ACTIVE SCENARIO</t>
  </si>
  <si>
    <t>Exact monthly model reruns</t>
  </si>
  <si>
    <t>The three columns below are calculated from Excel Data Tables using the complete sales, cashflow, finance, tax and waterfall engine. The active selector above controls the rest of the workbook.</t>
  </si>
  <si>
    <t>Scenario  (controlled from Scenario Comparison)</t>
  </si>
  <si>
    <t>Metric</t>
  </si>
  <si>
    <t>vs Base</t>
  </si>
  <si>
    <t>Sale price factor</t>
  </si>
  <si>
    <t>Build cost</t>
  </si>
  <si>
    <t>Interest rate</t>
  </si>
  <si>
    <t>Absorption</t>
  </si>
  <si>
    <t>FULL-MODEL OUTCOMES</t>
  </si>
  <si>
    <t>Realised GDV</t>
  </si>
  <si>
    <t>Equity IRR (p.a.)</t>
  </si>
  <si>
    <t>Post-tax equity IRR (p.a.)</t>
  </si>
  <si>
    <t>Project NPV</t>
  </si>
  <si>
    <t>Project span</t>
  </si>
  <si>
    <t>years</t>
  </si>
  <si>
    <t>DECISION VIEW</t>
  </si>
  <si>
    <t>Return threshold</t>
  </si>
  <si>
    <t>15% POC</t>
  </si>
  <si>
    <t>Positive profit</t>
  </si>
  <si>
    <t>&gt; KES 0</t>
  </si>
  <si>
    <t>Investment view</t>
  </si>
  <si>
    <t>Combined</t>
  </si>
  <si>
    <t>The scenario columns are exact Excel Data Table reruns of the monthly engine. They update when model assumptions change. The active scenario selector remains separate from the side-by-side comparison.</t>
  </si>
  <si>
    <t>Model Checks  -  live audit controls. Sources Register  -  evidence for material assumptions. Scenario Comparison  -  exact Base, Downside and Upside reruns of the complete monthly model.</t>
  </si>
  <si>
    <t>Apartment Underwriting  /  Programme &amp; Funding Triggers</t>
  </si>
  <si>
    <t>FIRST DEBT DRAW</t>
  </si>
  <si>
    <t>PEAK DEBT</t>
  </si>
  <si>
    <t>PROJECT END</t>
  </si>
  <si>
    <t>PROGRAMME / MODEL MONTH</t>
  </si>
  <si>
    <t>Pre-construction</t>
  </si>
  <si>
    <t>Sales campaign</t>
  </si>
  <si>
    <t>Debt outstanding</t>
  </si>
  <si>
    <t>Equity at risk</t>
  </si>
  <si>
    <t>PROGRAMME MILESTONES</t>
  </si>
  <si>
    <t>FUNDING &amp; COVENANT TRIGGERS</t>
  </si>
  <si>
    <t>Milestone</t>
  </si>
  <si>
    <t>Decision implication</t>
  </si>
  <si>
    <t>Trigger</t>
  </si>
  <si>
    <t>Current</t>
  </si>
  <si>
    <t>Reading</t>
  </si>
  <si>
    <t>Land acquisition / first equity</t>
  </si>
  <si>
    <t>Sponsor capital is first committed.</t>
  </si>
  <si>
    <t>Pre-construction complete</t>
  </si>
  <si>
    <t>Design, approvals and procurement period ends.</t>
  </si>
  <si>
    <t>Pre-sales at completion</t>
  </si>
  <si>
    <t>Sales launch</t>
  </si>
  <si>
    <t>Customer acquisition and deposit collections begin.</t>
  </si>
  <si>
    <t>Pre-sale headroom</t>
  </si>
  <si>
    <t>Pre-sale covenant reached</t>
  </si>
  <si>
    <t>Minimum contracted units required for lender drawdown.</t>
  </si>
  <si>
    <t>First debt draw</t>
  </si>
  <si>
    <t>Debt starts after the pre-sale test is satisfied.</t>
  </si>
  <si>
    <t>LTC cap headroom</t>
  </si>
  <si>
    <t>Peak equity exposure</t>
  </si>
  <si>
    <t>Maximum sponsor capital at risk.</t>
  </si>
  <si>
    <t>Peak debt exposure</t>
  </si>
  <si>
    <t>Maximum lender exposure and covenant-testing point.</t>
  </si>
  <si>
    <t>Loan-to-GDV headroom</t>
  </si>
  <si>
    <t>Practical completion</t>
  </si>
  <si>
    <t>Construction completes and handover balances crystallise.</t>
  </si>
  <si>
    <t>Peak equity requirement</t>
  </si>
  <si>
    <t>Debt fully repaid</t>
  </si>
  <si>
    <t>Facility exits the project cashflow.</t>
  </si>
  <si>
    <t>Peak debt requirement</t>
  </si>
  <si>
    <t>Sell-out</t>
  </si>
  <si>
    <t>All modelled units are contracted.</t>
  </si>
  <si>
    <t>Total finance cost</t>
  </si>
  <si>
    <t>Project cashflow ends</t>
  </si>
  <si>
    <t>Last modelled equity cashflow occurs.</t>
  </si>
  <si>
    <t>Debt availability</t>
  </si>
  <si>
    <t>MONTHLY FUNDING PROFILE  /  KES MILLIONS</t>
  </si>
  <si>
    <t>Model month</t>
  </si>
  <si>
    <t>Cumulative units sold</t>
  </si>
  <si>
    <t>Pre-sale covenant units</t>
  </si>
  <si>
    <t>The programme is formula-driven from the active scenario. Trigger dates are model months, not calendar dates. Add a project start-date assumption before converting this view into a dated execution programme.</t>
  </si>
  <si>
    <t>Unit Mix Analytics</t>
  </si>
  <si>
    <t>A live diagnostic of whether the apartment mix is carrying, concentrating, or slowing the underwriting case.</t>
  </si>
  <si>
    <t>EXECUTIVE READ</t>
  </si>
  <si>
    <t>Live value</t>
  </si>
  <si>
    <t>Read</t>
  </si>
  <si>
    <t>Reference</t>
  </si>
  <si>
    <t>Total apartment units</t>
  </si>
  <si>
    <t>Scale of residential inventory to clear.</t>
  </si>
  <si>
    <t>Assumptions</t>
  </si>
  <si>
    <t>Residential NSA</t>
  </si>
  <si>
    <t>Saleable area excluding parking.</t>
  </si>
  <si>
    <t>Realised residential revenue</t>
  </si>
  <si>
    <t>Revenue after timing, escalation, and discounts.</t>
  </si>
  <si>
    <t>Average ticket</t>
  </si>
  <si>
    <t>Average realised selling price per apartment.</t>
  </si>
  <si>
    <t>Derived</t>
  </si>
  <si>
    <t>Weighted price / mÂ²</t>
  </si>
  <si>
    <t>Tests whether pricing is led by size or premium.</t>
  </si>
  <si>
    <t>Largest revenue dependency</t>
  </si>
  <si>
    <t>Revenue share</t>
  </si>
  <si>
    <t>Residential sell-out month</t>
  </si>
  <si>
    <t>Month cumulative apartment sales reach total units.</t>
  </si>
  <si>
    <t>Fastest configured velocity</t>
  </si>
  <si>
    <t>Units / month</t>
  </si>
  <si>
    <t>Slowest configured velocity</t>
  </si>
  <si>
    <t>UNIT TYPE ANALYTICS</t>
  </si>
  <si>
    <t>Unit share</t>
  </si>
  <si>
    <t>Avg size mÂ²</t>
  </si>
  <si>
    <t>NSA mÂ²</t>
  </si>
  <si>
    <t>NSA share</t>
  </si>
  <si>
    <t>Base price/mÂ²</t>
  </si>
  <si>
    <t>Base revenue</t>
  </si>
  <si>
    <t>Realised revenue</t>
  </si>
  <si>
    <t>Absorp / mo</t>
  </si>
  <si>
    <t>Sell-out mo</t>
  </si>
  <si>
    <t>Months on sale</t>
  </si>
  <si>
    <t>Avg ticket</t>
  </si>
  <si>
    <t>Signal</t>
  </si>
  <si>
    <t>Total / weighted</t>
  </si>
  <si>
    <t/>
  </si>
  <si>
    <t>MIX DIAGNOSTIC</t>
  </si>
  <si>
    <t>Question</t>
  </si>
  <si>
    <t>Live test</t>
  </si>
  <si>
    <t>Interpretation</t>
  </si>
  <si>
    <t>Does one unit type carry too much revenue?</t>
  </si>
  <si>
    <t>&gt; 35%</t>
  </si>
  <si>
    <t>High concentration can make the model sensitive to a narrow buyer segment.</t>
  </si>
  <si>
    <t>Is the area mix aligned with revenue mix?</t>
  </si>
  <si>
    <t>&gt; 10 pts</t>
  </si>
  <si>
    <t>A large spread means value is being created by premium or discount, not only by area.</t>
  </si>
  <si>
    <t>Is absorption dependent on one fast-moving type?</t>
  </si>
  <si>
    <t>&gt; 40%</t>
  </si>
  <si>
    <t>Velocity should not depend on one unit category unless demand evidence supports it.</t>
  </si>
  <si>
    <t>Does configured sell-out exceed programme comfort?</t>
  </si>
  <si>
    <t>Completion + 3 months</t>
  </si>
  <si>
    <t>Late inventory can turn a profitable scheme into a working-capital problem.</t>
  </si>
  <si>
    <t>MONTHLY APARTMENT SALES PROFILE</t>
  </si>
  <si>
    <t>Cum sold</t>
  </si>
  <si>
    <t>Contracted 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</si>
</sst>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0%"/>
    <numFmt numFmtId="165" formatCode="0.00\x"/>
    <numFmt numFmtId="166" formatCode="#,##0,,\m;\(#,##0,,&quot;m)&quot;;\-"/>
    <numFmt numFmtId="167" formatCode="&quot;KES &quot;#,##0;&quot;(KES &quot;#,##0\);\-"/>
    <numFmt numFmtId="168" formatCode="#,##0.0"/>
    <numFmt numFmtId="169" formatCode="#,##0;[Red]\(#,##0\);\-"/>
    <numFmt numFmtId="170" formatCode="#,##0.00;[Red]\(#,##0.00\);\-"/>
    <numFmt numFmtId="171" formatCode="0\ &quot;documented&quot;"/>
    <numFmt numFmtId="172" formatCode="0\ &quot;open items&quot;"/>
    <numFmt numFmtId="173" formatCode="yyyy\-mm\-dd"/>
    <numFmt numFmtId="174" formatCode="0.0"/>
    <numFmt numFmtId="175" formatCode="\+0.00\x;\-0.00\x;\-"/>
    <numFmt numFmtId="176" formatCode="\+#,##0;\-#,##0;\-"/>
    <numFmt numFmtId="177" formatCode="\+0.0%;\-0.0%;\-"/>
    <numFmt numFmtId="178" formatCode="\+0.0;\-0.0;\-"/>
  </numFmts>
  <fonts count="43">
    <font>
      <sz val="11"/>
      <color theme="1"/>
      <name val="Calibri"/>
      <family val="2"/>
      <charset val="1"/>
    </font>
    <font>
      <sz val="10"/>
      <name val="Arial"/>
      <family val="2"/>
    </font>
    <font>
      <b/>
      <sz val="10"/>
      <color rgb="FF20211F"/>
      <name val="Arial"/>
      <family val="2"/>
    </font>
    <font>
      <i/>
      <sz val="10"/>
      <color rgb="FF20211F"/>
      <name val="Arial"/>
      <family val="2"/>
    </font>
    <font>
      <sz val="10"/>
      <color rgb="FF20211F"/>
      <name val="Arial"/>
      <family val="2"/>
    </font>
    <font>
      <sz val="18"/>
      <color rgb="FFFFFFFF"/>
      <name val="Georgia"/>
      <family val="1"/>
    </font>
    <font>
      <b/>
      <sz val="10"/>
      <color rgb="FFDCCFBB"/>
      <name val="Arial"/>
      <family val="2"/>
    </font>
    <font>
      <b/>
      <sz val="24"/>
      <color rgb="FF20211F"/>
      <name val="Georgia"/>
      <family val="1"/>
    </font>
    <font>
      <i/>
      <sz val="11"/>
      <color rgb="FF66675F"/>
      <name val="Arial"/>
      <family val="2"/>
    </font>
    <font>
      <sz val="15"/>
      <color rgb="FFA34A32"/>
      <name val="Georgia"/>
      <family val="1"/>
    </font>
    <font>
      <b/>
      <sz val="22"/>
      <color rgb="FF20211F"/>
      <name val="Georgia"/>
      <family val="1"/>
    </font>
    <font>
      <b/>
      <sz val="9"/>
      <color rgb="FF20211F"/>
      <name val="Arial"/>
      <family val="2"/>
    </font>
    <font>
      <i/>
      <sz val="9"/>
      <color rgb="FF66675F"/>
      <name val="Arial"/>
      <family val="2"/>
    </font>
    <font>
      <b/>
      <sz val="9"/>
      <color rgb="FF66675F"/>
      <name val="Arial"/>
      <family val="2"/>
    </font>
    <font>
      <b/>
      <sz val="8"/>
      <color rgb="FFA34A32"/>
      <name val="Arial"/>
      <family val="2"/>
    </font>
    <font>
      <i/>
      <sz val="8"/>
      <color rgb="FF20211F"/>
      <name val="Arial"/>
      <family val="2"/>
    </font>
    <font>
      <i/>
      <sz val="8"/>
      <color rgb="FF66675F"/>
      <name val="Arial"/>
      <family val="2"/>
    </font>
    <font>
      <b/>
      <sz val="9"/>
      <color rgb="FFFFFFFF"/>
      <name val="Arial"/>
      <family val="2"/>
    </font>
    <font>
      <sz val="8"/>
      <color rgb="FF66675F"/>
      <name val="Arial"/>
      <family val="2"/>
    </font>
    <font>
      <sz val="10"/>
      <color rgb="FFA34A32"/>
      <name val="Consolas"/>
      <family val="3"/>
    </font>
    <font>
      <b/>
      <sz val="10"/>
      <color rgb="FFA34A32"/>
      <name val="Arial"/>
      <family val="2"/>
    </font>
    <font>
      <b/>
      <sz val="10"/>
      <color rgb="FF596154"/>
      <name val="Arial"/>
      <family val="2"/>
    </font>
    <font>
      <sz val="10"/>
      <color rgb="FF596154"/>
      <name val="Arial"/>
      <family val="2"/>
    </font>
    <font>
      <b/>
      <sz val="9"/>
      <color rgb="FF596154"/>
      <name val="Arial"/>
      <family val="2"/>
    </font>
    <font>
      <b/>
      <sz val="13"/>
      <color rgb="FFA34A32"/>
      <name val="Georgia"/>
      <family val="1"/>
    </font>
    <font>
      <sz val="13"/>
      <color rgb="FFA34A32"/>
      <name val="Georgia"/>
      <family val="1"/>
    </font>
    <font>
      <i/>
      <sz val="13"/>
      <color rgb="FFA34A32"/>
      <name val="Georgia"/>
      <family val="1"/>
    </font>
    <font>
      <sz val="10"/>
      <color rgb="FFA34A32"/>
      <name val="Arial"/>
      <family val="2"/>
    </font>
    <font>
      <sz val="22"/>
      <color rgb="FF20211F"/>
      <name val="Georgia"/>
      <family val="1"/>
    </font>
    <font>
      <b/>
      <sz val="10"/>
      <color rgb="FFFFFFFF"/>
      <name val="Arial"/>
      <family val="2"/>
    </font>
    <font>
      <b/>
      <sz val="18"/>
      <color rgb="FF20211F"/>
      <name val="Georgia"/>
      <family val="1"/>
    </font>
    <font>
      <i/>
      <sz val="10"/>
      <color rgb="FF66675F"/>
      <name val="Arial"/>
      <family val="2"/>
    </font>
    <font>
      <sz val="9"/>
      <color rgb="FF20211F"/>
      <name val="Arial"/>
      <family val="2"/>
    </font>
    <font>
      <sz val="21"/>
      <color rgb="FF20211F"/>
      <name val="Georgia"/>
      <family val="1"/>
    </font>
    <font>
      <b/>
      <sz val="15"/>
      <color rgb="FF20211F"/>
      <name val="Georgia"/>
      <family val="1"/>
    </font>
    <font>
      <u/>
      <sz val="11"/>
      <color theme="10"/>
      <name val="Calibri"/>
      <family val="2"/>
      <charset val="1"/>
    </font>
    <font>
      <b/>
      <sz val="9"/>
      <color rgb="FFA34A32"/>
      <name val="Arial"/>
      <family val="2"/>
    </font>
    <font>
      <u/>
      <sz val="11"/>
      <color rgb="FF596154"/>
      <name val="Calibri"/>
      <family val="2"/>
      <charset val="1"/>
    </font>
    <font>
      <sz val="9"/>
      <color rgb="FF596154"/>
      <name val="Arial"/>
      <family val="2"/>
    </font>
    <font>
      <sz val="15"/>
      <color rgb="FF20211F"/>
      <name val="Georgia"/>
      <family val="1"/>
    </font>
    <font>
      <sz val="10"/>
      <color rgb="FF66675F"/>
      <name val="Arial"/>
      <family val="2"/>
    </font>
    <font>
      <b/>
      <sz val="10"/>
      <color rgb="FF66675F"/>
      <name val="Arial"/>
      <family val="2"/>
    </font>
    <font>
      <b/>
      <sz val="22"/>
      <color rgb="FF20211F"/>
      <name val="Georgia "/>
    </font>
  </fonts>
  <fills count="17">
    <fill>
      <patternFill patternType="none"/>
    </fill>
    <fill>
      <patternFill patternType="gray125"/>
    </fill>
    <fill>
      <patternFill patternType="solid">
        <fgColor rgb="FFF3F0E8"/>
        <bgColor indexed="64"/>
      </patternFill>
    </fill>
    <fill>
      <patternFill patternType="solid">
        <fgColor rgb="FFF3F0E8"/>
        <bgColor rgb="FF000000"/>
      </patternFill>
    </fill>
    <fill>
      <patternFill patternType="solid">
        <fgColor rgb="FFF3F0E8"/>
        <bgColor rgb="FFFFF7DA"/>
      </patternFill>
    </fill>
    <fill>
      <patternFill patternType="solid">
        <fgColor rgb="FF20211F"/>
        <bgColor indexed="64"/>
      </patternFill>
    </fill>
    <fill>
      <patternFill patternType="solid">
        <fgColor rgb="FFF3F0E8"/>
        <bgColor rgb="FFFAF7EE"/>
      </patternFill>
    </fill>
    <fill>
      <patternFill patternType="solid">
        <fgColor rgb="FF20211F"/>
        <bgColor rgb="FFBE4B48"/>
      </patternFill>
    </fill>
    <fill>
      <patternFill patternType="solid">
        <fgColor rgb="FFDCCFBB"/>
        <bgColor indexed="64"/>
      </patternFill>
    </fill>
    <fill>
      <patternFill patternType="solid">
        <fgColor rgb="FFEEE9DF"/>
        <bgColor rgb="FFFFF7DA"/>
      </patternFill>
    </fill>
    <fill>
      <patternFill patternType="solid">
        <fgColor rgb="FF20211F"/>
        <bgColor rgb="FFF2D7CF"/>
      </patternFill>
    </fill>
    <fill>
      <patternFill patternType="solid">
        <fgColor rgb="FFEEE9DF"/>
        <bgColor rgb="FFFAF7EE"/>
      </patternFill>
    </fill>
    <fill>
      <patternFill patternType="solid">
        <fgColor rgb="FFEEE9DF"/>
        <bgColor indexed="64"/>
      </patternFill>
    </fill>
    <fill>
      <patternFill patternType="solid">
        <fgColor rgb="FFDCCFBB"/>
        <bgColor rgb="FF2F6B33"/>
      </patternFill>
    </fill>
    <fill>
      <patternFill patternType="solid">
        <fgColor rgb="FFE9E3D8"/>
        <bgColor indexed="64"/>
      </patternFill>
    </fill>
    <fill>
      <patternFill patternType="solid">
        <fgColor rgb="FFE7C9BE"/>
        <bgColor indexed="64"/>
      </patternFill>
    </fill>
    <fill>
      <patternFill patternType="solid">
        <fgColor rgb="FFD9E0D5"/>
        <bgColor indexed="64"/>
      </patternFill>
    </fill>
  </fills>
  <borders count="32">
    <border>
      <left/>
      <right/>
      <top/>
      <bottom/>
      <diagonal/>
    </border>
    <border>
      <left style="thin">
        <color rgb="FFEBE4D2"/>
      </left>
      <right style="thin">
        <color rgb="FFEBE4D2"/>
      </right>
      <top style="thin">
        <color rgb="FFEBE4D2"/>
      </top>
      <bottom/>
      <diagonal/>
    </border>
    <border>
      <left style="thin">
        <color rgb="FFEBE4D2"/>
      </left>
      <right style="thin">
        <color rgb="FFEBE4D2"/>
      </right>
      <top/>
      <bottom/>
      <diagonal/>
    </border>
    <border>
      <left style="thin">
        <color rgb="FFEBE4D2"/>
      </left>
      <right style="thin">
        <color rgb="FFEBE4D2"/>
      </right>
      <top/>
      <bottom style="thin">
        <color rgb="FFEBE4D2"/>
      </bottom>
      <diagonal/>
    </border>
    <border>
      <left style="thin">
        <color rgb="FFEBE4D2"/>
      </left>
      <right style="thin">
        <color rgb="FFEBE4D2"/>
      </right>
      <top style="thin">
        <color rgb="FFEBE4D2"/>
      </top>
      <bottom style="thin">
        <color rgb="FFEBE4D2"/>
      </bottom>
      <diagonal/>
    </border>
    <border>
      <left/>
      <right style="thin">
        <color rgb="FFEBE4D2"/>
      </right>
      <top style="thin">
        <color rgb="FFEBE4D2"/>
      </top>
      <bottom/>
      <diagonal/>
    </border>
    <border>
      <left/>
      <right style="thin">
        <color rgb="FFEBE4D2"/>
      </right>
      <top/>
      <bottom/>
      <diagonal/>
    </border>
    <border>
      <left/>
      <right style="thin">
        <color rgb="FFEBE4D2"/>
      </right>
      <top/>
      <bottom style="thin">
        <color rgb="FFEBE4D2"/>
      </bottom>
      <diagonal/>
    </border>
    <border>
      <left style="thin">
        <color rgb="FFEBE4D2"/>
      </left>
      <right style="thin">
        <color rgb="FFEBE4D2"/>
      </right>
      <top style="thin">
        <color rgb="FFD4D0C5"/>
      </top>
      <bottom/>
      <diagonal/>
    </border>
    <border>
      <left style="thin">
        <color rgb="FFEBE4D2"/>
      </left>
      <right style="thin">
        <color rgb="FFEBE4D2"/>
      </right>
      <top/>
      <bottom style="thin">
        <color rgb="FFD4D0C5"/>
      </bottom>
      <diagonal/>
    </border>
    <border>
      <left style="thin">
        <color rgb="FFD4D0C5"/>
      </left>
      <right style="thin">
        <color rgb="FFEBE4D2"/>
      </right>
      <top style="thin">
        <color rgb="FFD4D0C5"/>
      </top>
      <bottom/>
      <diagonal/>
    </border>
    <border>
      <left style="thin">
        <color rgb="FFD4D0C5"/>
      </left>
      <right style="thin">
        <color rgb="FFEBE4D2"/>
      </right>
      <top/>
      <bottom/>
      <diagonal/>
    </border>
    <border>
      <left style="thin">
        <color rgb="FFD4D0C5"/>
      </left>
      <right style="thin">
        <color rgb="FFEBE4D2"/>
      </right>
      <top/>
      <bottom style="thin">
        <color rgb="FFD4D0C5"/>
      </bottom>
      <diagonal/>
    </border>
    <border>
      <left style="thin">
        <color rgb="FFEBE4D2"/>
      </left>
      <right style="thin">
        <color rgb="FFD4D0C5"/>
      </right>
      <top style="thin">
        <color rgb="FFD4D0C5"/>
      </top>
      <bottom/>
      <diagonal/>
    </border>
    <border>
      <left style="thin">
        <color rgb="FFEBE4D2"/>
      </left>
      <right style="thin">
        <color rgb="FFD4D0C5"/>
      </right>
      <top/>
      <bottom/>
      <diagonal/>
    </border>
    <border>
      <left style="thin">
        <color rgb="FFEBE4D2"/>
      </left>
      <right style="thin">
        <color rgb="FFD4D0C5"/>
      </right>
      <top/>
      <bottom style="thin">
        <color rgb="FFD4D0C5"/>
      </bottom>
      <diagonal/>
    </border>
    <border>
      <left style="thin">
        <color rgb="FFEBE4D2"/>
      </left>
      <right/>
      <top style="thin">
        <color rgb="FFD4D0C5"/>
      </top>
      <bottom/>
      <diagonal/>
    </border>
    <border>
      <left style="thin">
        <color rgb="FFEBE4D2"/>
      </left>
      <right/>
      <top/>
      <bottom/>
      <diagonal/>
    </border>
    <border>
      <left style="thin">
        <color rgb="FFEBE4D2"/>
      </left>
      <right/>
      <top/>
      <bottom style="thin">
        <color rgb="FFD4D0C5"/>
      </bottom>
      <diagonal/>
    </border>
    <border>
      <left/>
      <right/>
      <top/>
      <bottom style="thin">
        <color rgb="FF20211F"/>
      </bottom>
      <diagonal/>
    </border>
    <border>
      <left/>
      <right/>
      <top style="thin">
        <color rgb="FF20211F"/>
      </top>
      <bottom/>
      <diagonal/>
    </border>
    <border>
      <left/>
      <right/>
      <top style="thin">
        <color rgb="FFD4D0C5"/>
      </top>
      <bottom/>
      <diagonal/>
    </border>
    <border>
      <left style="thin">
        <color rgb="FFD4D0C5"/>
      </left>
      <right/>
      <top style="thin">
        <color rgb="FFD4D0C5"/>
      </top>
      <bottom/>
      <diagonal/>
    </border>
    <border>
      <left style="thin">
        <color rgb="FFD4D0C5"/>
      </left>
      <right/>
      <top/>
      <bottom style="thin">
        <color rgb="FFD4D0C5"/>
      </bottom>
      <diagonal/>
    </border>
    <border>
      <left style="thin">
        <color rgb="FFEBE4D2"/>
      </left>
      <right style="thin">
        <color rgb="FFD4D0C5"/>
      </right>
      <top style="thin">
        <color rgb="FFD4D0C5"/>
      </top>
      <bottom style="thin">
        <color rgb="FFEBE4D2"/>
      </bottom>
      <diagonal/>
    </border>
    <border>
      <left/>
      <right style="thin">
        <color rgb="FFD4D0C5"/>
      </right>
      <top/>
      <bottom style="thin">
        <color rgb="FFD4D0C5"/>
      </bottom>
      <diagonal/>
    </border>
    <border>
      <left style="thin">
        <color rgb="FFEBE4D2"/>
      </left>
      <right style="thin">
        <color rgb="FFEBE4D2"/>
      </right>
      <top style="thin">
        <color rgb="FFEBE4D2"/>
      </top>
      <bottom style="thin">
        <color rgb="FF20211F"/>
      </bottom>
      <diagonal/>
    </border>
    <border>
      <left/>
      <right/>
      <top style="thin">
        <color rgb="FF20211F"/>
      </top>
      <bottom style="thin">
        <color rgb="FFD4D0C5"/>
      </bottom>
      <diagonal/>
    </border>
    <border>
      <left/>
      <right/>
      <top style="thin">
        <color rgb="FFD4D0C5"/>
      </top>
      <bottom style="thin">
        <color rgb="FFD4D0C5"/>
      </bottom>
      <diagonal/>
    </border>
    <border>
      <left/>
      <right/>
      <top/>
      <bottom style="thin">
        <color rgb="FFD4D0C5"/>
      </bottom>
      <diagonal/>
    </border>
    <border>
      <left style="thin">
        <color rgb="FFD4D0C5"/>
      </left>
      <right/>
      <top/>
      <bottom/>
      <diagonal/>
    </border>
    <border>
      <left/>
      <right style="thin">
        <color rgb="FFD4D0C5"/>
      </right>
      <top/>
      <bottom/>
      <diagonal/>
    </border>
  </borders>
  <cellStyleXfs count="2">
    <xf numFmtId="0" fontId="0" fillId="0" borderId="0"/>
    <xf numFmtId="0" fontId="35" fillId="0" borderId="0" applyNumberFormat="0" applyFill="0" applyBorder="0" applyAlignment="0" applyProtection="0"/>
  </cellStyleXfs>
  <cellXfs count="273">
    <xf numFmtId="0" fontId="0" fillId="0" borderId="0" xfId="0"/>
    <xf numFmtId="0" fontId="4" fillId="2" borderId="0" xfId="0" applyFont="1" applyFill="1" applyAlignment="1">
      <alignment vertical="center"/>
    </xf>
    <xf numFmtId="0" fontId="3" fillId="2" borderId="0" xfId="0" applyFont="1" applyFill="1" applyAlignment="1">
      <alignment vertical="center"/>
    </xf>
    <xf numFmtId="0" fontId="2" fillId="2" borderId="0" xfId="0" applyFont="1" applyFill="1" applyAlignment="1">
      <alignment vertical="center"/>
    </xf>
    <xf numFmtId="0" fontId="2" fillId="2" borderId="0" xfId="0" applyFont="1" applyFill="1" applyAlignment="1">
      <alignment horizontal="right" vertical="center"/>
    </xf>
    <xf numFmtId="3" fontId="4" fillId="2" borderId="0" xfId="0" applyNumberFormat="1" applyFont="1" applyFill="1" applyAlignment="1">
      <alignment horizontal="right" vertical="center"/>
    </xf>
    <xf numFmtId="9" fontId="4" fillId="2" borderId="0" xfId="0" applyNumberFormat="1" applyFont="1" applyFill="1" applyAlignment="1">
      <alignment horizontal="right" vertical="center"/>
    </xf>
    <xf numFmtId="0" fontId="4" fillId="2" borderId="0" xfId="0" applyFont="1" applyFill="1" applyAlignment="1">
      <alignment vertical="center" wrapText="1"/>
    </xf>
    <xf numFmtId="0" fontId="5" fillId="5" borderId="0" xfId="0" applyFont="1" applyFill="1" applyAlignment="1">
      <alignment vertical="center"/>
    </xf>
    <xf numFmtId="3" fontId="4" fillId="6" borderId="4" xfId="0" applyNumberFormat="1" applyFont="1" applyFill="1" applyBorder="1" applyAlignment="1">
      <alignment horizontal="right" vertical="center"/>
    </xf>
    <xf numFmtId="167" fontId="4" fillId="2" borderId="0" xfId="0" applyNumberFormat="1" applyFont="1" applyFill="1" applyAlignment="1">
      <alignment horizontal="right" vertical="center"/>
    </xf>
    <xf numFmtId="3" fontId="2" fillId="2" borderId="0" xfId="0" applyNumberFormat="1" applyFont="1" applyFill="1" applyAlignment="1">
      <alignment horizontal="right" vertical="center"/>
    </xf>
    <xf numFmtId="167" fontId="2" fillId="2" borderId="0" xfId="0" applyNumberFormat="1" applyFont="1" applyFill="1" applyAlignment="1">
      <alignment horizontal="right" vertical="center"/>
    </xf>
    <xf numFmtId="165" fontId="2" fillId="2" borderId="0" xfId="0" applyNumberFormat="1" applyFont="1" applyFill="1" applyAlignment="1">
      <alignment horizontal="right" vertical="center"/>
    </xf>
    <xf numFmtId="164" fontId="2" fillId="2" borderId="0" xfId="0" applyNumberFormat="1" applyFont="1" applyFill="1" applyAlignment="1">
      <alignment horizontal="right" vertical="center"/>
    </xf>
    <xf numFmtId="164" fontId="4" fillId="2" borderId="0" xfId="0" applyNumberFormat="1" applyFont="1" applyFill="1" applyAlignment="1">
      <alignment horizontal="right" vertical="center"/>
    </xf>
    <xf numFmtId="10" fontId="4" fillId="2" borderId="0" xfId="0" applyNumberFormat="1" applyFont="1" applyFill="1" applyAlignment="1">
      <alignment horizontal="right" vertical="center"/>
    </xf>
    <xf numFmtId="0" fontId="4" fillId="2" borderId="0" xfId="0" applyFont="1" applyFill="1" applyAlignment="1">
      <alignment horizontal="left" vertical="center"/>
    </xf>
    <xf numFmtId="168" fontId="4" fillId="2" borderId="0" xfId="0" applyNumberFormat="1" applyFont="1" applyFill="1" applyAlignment="1">
      <alignment horizontal="right" vertical="center"/>
    </xf>
    <xf numFmtId="166" fontId="4" fillId="2" borderId="0" xfId="0" applyNumberFormat="1" applyFont="1" applyFill="1" applyAlignment="1">
      <alignment horizontal="right" vertical="center"/>
    </xf>
    <xf numFmtId="166" fontId="2" fillId="2" borderId="0" xfId="0" applyNumberFormat="1" applyFont="1" applyFill="1" applyAlignment="1">
      <alignment horizontal="right" vertical="center"/>
    </xf>
    <xf numFmtId="164" fontId="4" fillId="2" borderId="4" xfId="0" applyNumberFormat="1" applyFont="1" applyFill="1" applyBorder="1" applyAlignment="1">
      <alignment horizontal="right" vertical="center"/>
    </xf>
    <xf numFmtId="165" fontId="4" fillId="2" borderId="0" xfId="0" applyNumberFormat="1" applyFont="1" applyFill="1" applyAlignment="1">
      <alignment horizontal="right" vertical="center"/>
    </xf>
    <xf numFmtId="0" fontId="2" fillId="2" borderId="0" xfId="0" applyFont="1" applyFill="1" applyAlignment="1">
      <alignment horizontal="center" vertical="center"/>
    </xf>
    <xf numFmtId="0" fontId="6" fillId="5" borderId="0" xfId="0" applyFont="1" applyFill="1" applyAlignment="1">
      <alignment vertical="center"/>
    </xf>
    <xf numFmtId="0" fontId="7" fillId="2" borderId="0" xfId="0" applyFont="1" applyFill="1" applyAlignment="1">
      <alignment vertical="center"/>
    </xf>
    <xf numFmtId="0" fontId="8" fillId="2" borderId="0" xfId="0" applyFont="1" applyFill="1" applyAlignment="1">
      <alignment vertical="center"/>
    </xf>
    <xf numFmtId="0" fontId="9" fillId="2" borderId="0" xfId="0" applyFont="1" applyFill="1" applyAlignment="1">
      <alignment vertical="center"/>
    </xf>
    <xf numFmtId="0" fontId="4" fillId="8" borderId="0" xfId="0" applyFont="1" applyFill="1" applyAlignment="1">
      <alignment vertical="center" wrapText="1"/>
    </xf>
    <xf numFmtId="0" fontId="16" fillId="2" borderId="0" xfId="0" applyFont="1" applyFill="1" applyAlignment="1">
      <alignment vertical="center"/>
    </xf>
    <xf numFmtId="0" fontId="18" fillId="2" borderId="0" xfId="0" applyFont="1" applyFill="1" applyAlignment="1">
      <alignment vertical="center"/>
    </xf>
    <xf numFmtId="3" fontId="19" fillId="2" borderId="0" xfId="0" applyNumberFormat="1" applyFont="1" applyFill="1" applyAlignment="1">
      <alignment horizontal="right" vertical="center"/>
    </xf>
    <xf numFmtId="3" fontId="4" fillId="6" borderId="3" xfId="0" applyNumberFormat="1" applyFont="1" applyFill="1" applyBorder="1" applyAlignment="1">
      <alignment horizontal="right" vertical="center"/>
    </xf>
    <xf numFmtId="0" fontId="11" fillId="8" borderId="19" xfId="0" applyFont="1" applyFill="1" applyBorder="1" applyAlignment="1">
      <alignment horizontal="center" vertical="center"/>
    </xf>
    <xf numFmtId="0" fontId="2" fillId="2" borderId="0" xfId="0" applyFont="1" applyFill="1" applyBorder="1" applyAlignment="1">
      <alignment vertical="center"/>
    </xf>
    <xf numFmtId="0" fontId="2" fillId="2" borderId="20" xfId="0" applyFont="1" applyFill="1" applyBorder="1" applyAlignment="1">
      <alignment vertical="center"/>
    </xf>
    <xf numFmtId="3" fontId="2" fillId="2" borderId="20" xfId="0" applyNumberFormat="1" applyFont="1" applyFill="1" applyBorder="1" applyAlignment="1">
      <alignment horizontal="right" vertical="center"/>
    </xf>
    <xf numFmtId="167" fontId="2" fillId="2" borderId="20" xfId="0" applyNumberFormat="1" applyFont="1" applyFill="1" applyBorder="1" applyAlignment="1">
      <alignment horizontal="right" vertical="center"/>
    </xf>
    <xf numFmtId="0" fontId="2" fillId="8" borderId="22" xfId="0" applyFont="1" applyFill="1" applyBorder="1" applyAlignment="1">
      <alignment vertical="center"/>
    </xf>
    <xf numFmtId="0" fontId="4" fillId="8" borderId="23" xfId="0" applyFont="1" applyFill="1" applyBorder="1" applyAlignment="1">
      <alignment vertical="center"/>
    </xf>
    <xf numFmtId="0" fontId="4" fillId="8" borderId="25" xfId="0" applyFont="1" applyFill="1" applyBorder="1" applyAlignment="1">
      <alignment horizontal="right" vertical="center"/>
    </xf>
    <xf numFmtId="3" fontId="20" fillId="11" borderId="3" xfId="0" applyNumberFormat="1" applyFont="1" applyFill="1" applyBorder="1" applyAlignment="1">
      <alignment horizontal="right" vertical="center"/>
    </xf>
    <xf numFmtId="167" fontId="20" fillId="11" borderId="3" xfId="0" applyNumberFormat="1" applyFont="1" applyFill="1" applyBorder="1" applyAlignment="1">
      <alignment horizontal="right" vertical="center"/>
    </xf>
    <xf numFmtId="3" fontId="20" fillId="11" borderId="4" xfId="0" applyNumberFormat="1" applyFont="1" applyFill="1" applyBorder="1" applyAlignment="1">
      <alignment horizontal="right" vertical="center"/>
    </xf>
    <xf numFmtId="167" fontId="20" fillId="11" borderId="4" xfId="0" applyNumberFormat="1" applyFont="1" applyFill="1" applyBorder="1" applyAlignment="1">
      <alignment horizontal="right" vertical="center"/>
    </xf>
    <xf numFmtId="3" fontId="20" fillId="11" borderId="1" xfId="0" applyNumberFormat="1" applyFont="1" applyFill="1" applyBorder="1" applyAlignment="1">
      <alignment horizontal="right" vertical="center"/>
    </xf>
    <xf numFmtId="167" fontId="20" fillId="11" borderId="1" xfId="0" applyNumberFormat="1" applyFont="1" applyFill="1" applyBorder="1" applyAlignment="1">
      <alignment horizontal="right" vertical="center"/>
    </xf>
    <xf numFmtId="0" fontId="20" fillId="12" borderId="0" xfId="0" applyFont="1" applyFill="1" applyAlignment="1">
      <alignment vertical="center"/>
    </xf>
    <xf numFmtId="165" fontId="20" fillId="11" borderId="3" xfId="0" applyNumberFormat="1" applyFont="1" applyFill="1" applyBorder="1" applyAlignment="1">
      <alignment horizontal="right" vertical="center"/>
    </xf>
    <xf numFmtId="164" fontId="20" fillId="11" borderId="4" xfId="0" applyNumberFormat="1" applyFont="1" applyFill="1" applyBorder="1" applyAlignment="1">
      <alignment horizontal="right" vertical="center"/>
    </xf>
    <xf numFmtId="168" fontId="20" fillId="11" borderId="4" xfId="0" applyNumberFormat="1" applyFont="1" applyFill="1" applyBorder="1" applyAlignment="1">
      <alignment horizontal="right" vertical="center"/>
    </xf>
    <xf numFmtId="164" fontId="20" fillId="12" borderId="0" xfId="0" applyNumberFormat="1" applyFont="1" applyFill="1" applyAlignment="1">
      <alignment horizontal="right" vertical="center"/>
    </xf>
    <xf numFmtId="165" fontId="21" fillId="2" borderId="0" xfId="0" applyNumberFormat="1" applyFont="1" applyFill="1" applyAlignment="1">
      <alignment horizontal="right" vertical="center"/>
    </xf>
    <xf numFmtId="167" fontId="21" fillId="2" borderId="0" xfId="0" applyNumberFormat="1" applyFont="1" applyFill="1" applyAlignment="1">
      <alignment horizontal="right" vertical="center"/>
    </xf>
    <xf numFmtId="164" fontId="21" fillId="2" borderId="0" xfId="0" applyNumberFormat="1" applyFont="1" applyFill="1" applyAlignment="1">
      <alignment horizontal="right" vertical="center"/>
    </xf>
    <xf numFmtId="168" fontId="21" fillId="2" borderId="0" xfId="0" applyNumberFormat="1" applyFont="1" applyFill="1" applyAlignment="1">
      <alignment horizontal="right" vertical="center"/>
    </xf>
    <xf numFmtId="3" fontId="22" fillId="2" borderId="0" xfId="0" applyNumberFormat="1" applyFont="1" applyFill="1" applyAlignment="1">
      <alignment horizontal="right" vertical="center"/>
    </xf>
    <xf numFmtId="167" fontId="22" fillId="2" borderId="0" xfId="0" applyNumberFormat="1" applyFont="1" applyFill="1" applyAlignment="1">
      <alignment horizontal="right" vertical="center"/>
    </xf>
    <xf numFmtId="167" fontId="21" fillId="2" borderId="20" xfId="0" applyNumberFormat="1" applyFont="1" applyFill="1" applyBorder="1" applyAlignment="1">
      <alignment horizontal="right" vertical="center"/>
    </xf>
    <xf numFmtId="3" fontId="21" fillId="2" borderId="20" xfId="0" applyNumberFormat="1" applyFont="1" applyFill="1" applyBorder="1" applyAlignment="1">
      <alignment horizontal="right" vertical="center"/>
    </xf>
    <xf numFmtId="10" fontId="21" fillId="2" borderId="0" xfId="0" applyNumberFormat="1" applyFont="1" applyFill="1" applyBorder="1" applyAlignment="1">
      <alignment horizontal="right" vertical="center"/>
    </xf>
    <xf numFmtId="10" fontId="22" fillId="2" borderId="0" xfId="0" applyNumberFormat="1" applyFont="1" applyFill="1" applyAlignment="1">
      <alignment horizontal="right" vertical="center"/>
    </xf>
    <xf numFmtId="0" fontId="17" fillId="5" borderId="0" xfId="0" applyFont="1" applyFill="1" applyAlignment="1">
      <alignment vertical="center"/>
    </xf>
    <xf numFmtId="0" fontId="11" fillId="8" borderId="19" xfId="0" applyFont="1" applyFill="1" applyBorder="1" applyAlignment="1">
      <alignment horizontal="center" vertical="center" wrapText="1"/>
    </xf>
    <xf numFmtId="0" fontId="11" fillId="13" borderId="26" xfId="0" applyFont="1" applyFill="1" applyBorder="1" applyAlignment="1">
      <alignment horizontal="center" vertical="center" wrapText="1"/>
    </xf>
    <xf numFmtId="168" fontId="20" fillId="11" borderId="3" xfId="0" applyNumberFormat="1" applyFont="1" applyFill="1" applyBorder="1" applyAlignment="1">
      <alignment horizontal="right" vertical="center"/>
    </xf>
    <xf numFmtId="164" fontId="20" fillId="11" borderId="3" xfId="0" applyNumberFormat="1" applyFont="1" applyFill="1" applyBorder="1" applyAlignment="1">
      <alignment horizontal="right" vertical="center"/>
    </xf>
    <xf numFmtId="168" fontId="2" fillId="2" borderId="20" xfId="0" applyNumberFormat="1" applyFont="1" applyFill="1" applyBorder="1" applyAlignment="1">
      <alignment horizontal="right" vertical="center"/>
    </xf>
    <xf numFmtId="166" fontId="2" fillId="2" borderId="20" xfId="0" applyNumberFormat="1" applyFont="1" applyFill="1" applyBorder="1" applyAlignment="1">
      <alignment horizontal="right" vertical="center"/>
    </xf>
    <xf numFmtId="0" fontId="2" fillId="2" borderId="21" xfId="0" applyFont="1" applyFill="1" applyBorder="1" applyAlignment="1">
      <alignment vertical="center"/>
    </xf>
    <xf numFmtId="164" fontId="4" fillId="2" borderId="3" xfId="0" applyNumberFormat="1" applyFont="1" applyFill="1" applyBorder="1" applyAlignment="1">
      <alignment horizontal="right" vertical="center"/>
    </xf>
    <xf numFmtId="165" fontId="11" fillId="8" borderId="19" xfId="0" applyNumberFormat="1" applyFont="1" applyFill="1" applyBorder="1" applyAlignment="1">
      <alignment horizontal="center" vertical="center"/>
    </xf>
    <xf numFmtId="0" fontId="24" fillId="2" borderId="0" xfId="0" applyFont="1" applyFill="1" applyAlignment="1">
      <alignment vertical="center"/>
    </xf>
    <xf numFmtId="0" fontId="25" fillId="2" borderId="0" xfId="0" applyFont="1" applyFill="1" applyAlignment="1">
      <alignment vertical="center"/>
    </xf>
    <xf numFmtId="0" fontId="26" fillId="2" borderId="0" xfId="0" applyFont="1" applyFill="1" applyAlignment="1">
      <alignment vertical="center"/>
    </xf>
    <xf numFmtId="0" fontId="16" fillId="2" borderId="0" xfId="0" applyFont="1" applyFill="1" applyAlignment="1">
      <alignment vertical="center" wrapText="1"/>
    </xf>
    <xf numFmtId="0" fontId="18" fillId="2" borderId="0" xfId="0" applyFont="1" applyFill="1" applyAlignment="1">
      <alignment vertical="center" wrapText="1"/>
    </xf>
    <xf numFmtId="0" fontId="27" fillId="2" borderId="0" xfId="0" applyFont="1" applyFill="1" applyAlignment="1">
      <alignment vertical="center"/>
    </xf>
    <xf numFmtId="0" fontId="4" fillId="2" borderId="0" xfId="0" applyFont="1" applyFill="1"/>
    <xf numFmtId="0" fontId="2" fillId="8" borderId="0" xfId="0" applyFont="1" applyFill="1" applyBorder="1" applyAlignment="1">
      <alignment horizontal="center"/>
    </xf>
    <xf numFmtId="0" fontId="4" fillId="2" borderId="27" xfId="0" applyFont="1" applyFill="1" applyBorder="1" applyAlignment="1">
      <alignment vertical="center"/>
    </xf>
    <xf numFmtId="0" fontId="4" fillId="2" borderId="28" xfId="0" applyFont="1" applyFill="1" applyBorder="1" applyAlignment="1">
      <alignment vertical="center"/>
    </xf>
    <xf numFmtId="0" fontId="4" fillId="2" borderId="21" xfId="0" applyFont="1" applyFill="1" applyBorder="1" applyAlignment="1">
      <alignment vertical="center"/>
    </xf>
    <xf numFmtId="0" fontId="4" fillId="2" borderId="27" xfId="0" applyFont="1" applyFill="1" applyBorder="1" applyAlignment="1">
      <alignment horizontal="center" vertical="center"/>
    </xf>
    <xf numFmtId="0" fontId="4" fillId="2" borderId="28" xfId="0" applyFont="1" applyFill="1" applyBorder="1" applyAlignment="1">
      <alignment horizontal="center" vertical="center"/>
    </xf>
    <xf numFmtId="0" fontId="4" fillId="2" borderId="21"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1" xfId="0" applyFont="1" applyFill="1" applyBorder="1" applyAlignment="1">
      <alignment horizontal="center" vertical="center"/>
    </xf>
    <xf numFmtId="0" fontId="4" fillId="2" borderId="27" xfId="0" applyFont="1" applyFill="1" applyBorder="1" applyAlignment="1">
      <alignment vertical="center" wrapText="1"/>
    </xf>
    <xf numFmtId="0" fontId="4" fillId="2" borderId="28" xfId="0" applyFont="1" applyFill="1" applyBorder="1" applyAlignment="1">
      <alignment vertical="center" wrapText="1"/>
    </xf>
    <xf numFmtId="0" fontId="4" fillId="2" borderId="21" xfId="0" applyFont="1" applyFill="1" applyBorder="1" applyAlignment="1">
      <alignment vertical="center" wrapText="1"/>
    </xf>
    <xf numFmtId="164" fontId="4" fillId="2" borderId="28" xfId="0" applyNumberFormat="1" applyFont="1" applyFill="1" applyBorder="1" applyAlignment="1">
      <alignment horizontal="right" vertical="center"/>
    </xf>
    <xf numFmtId="169" fontId="4" fillId="2" borderId="28" xfId="0" applyNumberFormat="1" applyFont="1" applyFill="1" applyBorder="1" applyAlignment="1">
      <alignment horizontal="right" vertical="center"/>
    </xf>
    <xf numFmtId="170" fontId="4" fillId="2" borderId="27" xfId="0" applyNumberFormat="1" applyFont="1" applyFill="1" applyBorder="1" applyAlignment="1">
      <alignment horizontal="right" vertical="center"/>
    </xf>
    <xf numFmtId="170" fontId="4" fillId="2" borderId="28" xfId="0" applyNumberFormat="1" applyFont="1" applyFill="1" applyBorder="1" applyAlignment="1">
      <alignment horizontal="right" vertical="center"/>
    </xf>
    <xf numFmtId="170" fontId="4" fillId="2" borderId="21" xfId="0" applyNumberFormat="1" applyFont="1" applyFill="1" applyBorder="1" applyAlignment="1">
      <alignment horizontal="right" vertical="center"/>
    </xf>
    <xf numFmtId="0" fontId="32" fillId="2" borderId="0" xfId="0" applyFont="1" applyFill="1"/>
    <xf numFmtId="0" fontId="11" fillId="8" borderId="0" xfId="0" applyFont="1" applyFill="1" applyBorder="1" applyAlignment="1">
      <alignment horizontal="center"/>
    </xf>
    <xf numFmtId="0" fontId="32" fillId="2" borderId="27" xfId="0" applyFont="1" applyFill="1" applyBorder="1" applyAlignment="1">
      <alignment vertical="center"/>
    </xf>
    <xf numFmtId="0" fontId="32" fillId="2" borderId="28" xfId="0" applyFont="1" applyFill="1" applyBorder="1" applyAlignment="1">
      <alignment vertical="center"/>
    </xf>
    <xf numFmtId="0" fontId="32" fillId="2" borderId="21" xfId="0" applyFont="1" applyFill="1" applyBorder="1" applyAlignment="1">
      <alignment vertical="center"/>
    </xf>
    <xf numFmtId="0" fontId="37" fillId="2" borderId="27" xfId="1" applyFont="1" applyFill="1" applyBorder="1" applyAlignment="1">
      <alignment horizontal="center" vertical="center"/>
    </xf>
    <xf numFmtId="0" fontId="37" fillId="2" borderId="28" xfId="1" applyFont="1" applyFill="1" applyBorder="1" applyAlignment="1">
      <alignment horizontal="center" vertical="center"/>
    </xf>
    <xf numFmtId="0" fontId="37" fillId="2" borderId="21" xfId="1" applyFont="1" applyFill="1" applyBorder="1" applyAlignment="1">
      <alignment horizontal="center" vertical="center"/>
    </xf>
    <xf numFmtId="3" fontId="38" fillId="2" borderId="27" xfId="0" applyNumberFormat="1" applyFont="1" applyFill="1" applyBorder="1" applyAlignment="1">
      <alignment horizontal="right" vertical="center"/>
    </xf>
    <xf numFmtId="3" fontId="38" fillId="2" borderId="28" xfId="0" applyNumberFormat="1" applyFont="1" applyFill="1" applyBorder="1" applyAlignment="1">
      <alignment horizontal="right" vertical="center"/>
    </xf>
    <xf numFmtId="0" fontId="36" fillId="12" borderId="27" xfId="0" applyFont="1" applyFill="1" applyBorder="1" applyAlignment="1">
      <alignment horizontal="center" vertical="center"/>
    </xf>
    <xf numFmtId="0" fontId="11" fillId="2" borderId="27" xfId="0" applyFont="1" applyFill="1" applyBorder="1" applyAlignment="1">
      <alignment horizontal="center" vertical="center"/>
    </xf>
    <xf numFmtId="0" fontId="36" fillId="12" borderId="28" xfId="0" applyFont="1" applyFill="1" applyBorder="1" applyAlignment="1">
      <alignment horizontal="center" vertical="center"/>
    </xf>
    <xf numFmtId="0" fontId="11" fillId="2" borderId="28" xfId="0" applyFont="1" applyFill="1" applyBorder="1" applyAlignment="1">
      <alignment horizontal="center" vertical="center"/>
    </xf>
    <xf numFmtId="0" fontId="36" fillId="12" borderId="21" xfId="0" applyFont="1" applyFill="1" applyBorder="1" applyAlignment="1">
      <alignment horizontal="center" vertical="center"/>
    </xf>
    <xf numFmtId="0" fontId="11" fillId="2" borderId="21" xfId="0" applyFont="1" applyFill="1" applyBorder="1" applyAlignment="1">
      <alignment horizontal="center" vertical="center"/>
    </xf>
    <xf numFmtId="0" fontId="32" fillId="2" borderId="27" xfId="0" applyFont="1" applyFill="1" applyBorder="1" applyAlignment="1">
      <alignment vertical="center" wrapText="1"/>
    </xf>
    <xf numFmtId="0" fontId="36" fillId="12" borderId="27" xfId="0" applyFont="1" applyFill="1" applyBorder="1" applyAlignment="1">
      <alignment vertical="center" wrapText="1"/>
    </xf>
    <xf numFmtId="0" fontId="32" fillId="2" borderId="28" xfId="0" applyFont="1" applyFill="1" applyBorder="1" applyAlignment="1">
      <alignment vertical="center" wrapText="1"/>
    </xf>
    <xf numFmtId="0" fontId="36" fillId="12" borderId="28" xfId="0" applyFont="1" applyFill="1" applyBorder="1" applyAlignment="1">
      <alignment vertical="center" wrapText="1"/>
    </xf>
    <xf numFmtId="0" fontId="32" fillId="2" borderId="21" xfId="0" applyFont="1" applyFill="1" applyBorder="1" applyAlignment="1">
      <alignment vertical="center" wrapText="1"/>
    </xf>
    <xf numFmtId="0" fontId="36" fillId="12" borderId="21" xfId="0" applyFont="1" applyFill="1" applyBorder="1" applyAlignment="1">
      <alignment vertical="center" wrapText="1"/>
    </xf>
    <xf numFmtId="173" fontId="36" fillId="12" borderId="27" xfId="0" applyNumberFormat="1" applyFont="1" applyFill="1" applyBorder="1" applyAlignment="1">
      <alignment horizontal="center" vertical="center"/>
    </xf>
    <xf numFmtId="173" fontId="36" fillId="12" borderId="28" xfId="0" applyNumberFormat="1" applyFont="1" applyFill="1" applyBorder="1" applyAlignment="1">
      <alignment horizontal="center" vertical="center"/>
    </xf>
    <xf numFmtId="173" fontId="36" fillId="12" borderId="21" xfId="0" applyNumberFormat="1" applyFont="1" applyFill="1" applyBorder="1" applyAlignment="1">
      <alignment horizontal="center" vertical="center"/>
    </xf>
    <xf numFmtId="165" fontId="38" fillId="2" borderId="28" xfId="0" applyNumberFormat="1" applyFont="1" applyFill="1" applyBorder="1" applyAlignment="1">
      <alignment horizontal="right" vertical="center"/>
    </xf>
    <xf numFmtId="164" fontId="38" fillId="2" borderId="28" xfId="0" applyNumberFormat="1" applyFont="1" applyFill="1" applyBorder="1" applyAlignment="1">
      <alignment horizontal="right" vertical="center"/>
    </xf>
    <xf numFmtId="174" fontId="38" fillId="2" borderId="28" xfId="0" applyNumberFormat="1" applyFont="1" applyFill="1" applyBorder="1" applyAlignment="1">
      <alignment horizontal="right" vertical="center"/>
    </xf>
    <xf numFmtId="164" fontId="38" fillId="2" borderId="21" xfId="0" applyNumberFormat="1" applyFont="1" applyFill="1" applyBorder="1" applyAlignment="1">
      <alignment horizontal="right" vertical="center"/>
    </xf>
    <xf numFmtId="0" fontId="20" fillId="12" borderId="0" xfId="0" applyFont="1" applyFill="1" applyAlignment="1">
      <alignment horizontal="center"/>
    </xf>
    <xf numFmtId="3" fontId="21" fillId="6" borderId="24" xfId="0" applyNumberFormat="1" applyFont="1" applyFill="1" applyBorder="1" applyAlignment="1">
      <alignment horizontal="right" vertical="center"/>
    </xf>
    <xf numFmtId="0" fontId="2" fillId="2" borderId="0" xfId="0" applyFont="1" applyFill="1"/>
    <xf numFmtId="0" fontId="2" fillId="8" borderId="19" xfId="0" applyFont="1" applyFill="1" applyBorder="1" applyAlignment="1">
      <alignment horizontal="center"/>
    </xf>
    <xf numFmtId="0" fontId="2" fillId="14" borderId="19" xfId="0" applyFont="1" applyFill="1" applyBorder="1" applyAlignment="1">
      <alignment horizontal="center"/>
    </xf>
    <xf numFmtId="0" fontId="2" fillId="15" borderId="19" xfId="0" applyFont="1" applyFill="1" applyBorder="1" applyAlignment="1">
      <alignment horizontal="center"/>
    </xf>
    <xf numFmtId="0" fontId="2" fillId="16" borderId="19" xfId="0" applyFont="1" applyFill="1" applyBorder="1" applyAlignment="1">
      <alignment horizontal="center"/>
    </xf>
    <xf numFmtId="0" fontId="4" fillId="2" borderId="29" xfId="0" applyFont="1" applyFill="1" applyBorder="1"/>
    <xf numFmtId="0" fontId="4" fillId="2" borderId="28" xfId="0" applyFont="1" applyFill="1" applyBorder="1"/>
    <xf numFmtId="0" fontId="4" fillId="2" borderId="21" xfId="0" applyFont="1" applyFill="1" applyBorder="1"/>
    <xf numFmtId="0" fontId="2" fillId="14" borderId="29" xfId="0" applyFont="1" applyFill="1" applyBorder="1" applyAlignment="1">
      <alignment horizontal="center"/>
    </xf>
    <xf numFmtId="0" fontId="2" fillId="15" borderId="29" xfId="0" applyFont="1" applyFill="1" applyBorder="1" applyAlignment="1">
      <alignment horizontal="center"/>
    </xf>
    <xf numFmtId="0" fontId="2" fillId="2" borderId="29" xfId="0" applyFont="1" applyFill="1" applyBorder="1" applyAlignment="1">
      <alignment horizontal="center"/>
    </xf>
    <xf numFmtId="0" fontId="2" fillId="16" borderId="29" xfId="0" applyFont="1" applyFill="1" applyBorder="1" applyAlignment="1">
      <alignment horizontal="center"/>
    </xf>
    <xf numFmtId="0" fontId="2" fillId="14" borderId="28" xfId="0" applyFont="1" applyFill="1" applyBorder="1" applyAlignment="1">
      <alignment horizontal="center"/>
    </xf>
    <xf numFmtId="0" fontId="2" fillId="15" borderId="28" xfId="0" applyFont="1" applyFill="1" applyBorder="1" applyAlignment="1">
      <alignment horizontal="center"/>
    </xf>
    <xf numFmtId="0" fontId="2" fillId="2" borderId="28" xfId="0" applyFont="1" applyFill="1" applyBorder="1" applyAlignment="1">
      <alignment horizontal="center"/>
    </xf>
    <xf numFmtId="0" fontId="2" fillId="16" borderId="28" xfId="0" applyFont="1" applyFill="1" applyBorder="1" applyAlignment="1">
      <alignment horizontal="center"/>
    </xf>
    <xf numFmtId="0" fontId="2" fillId="14" borderId="21" xfId="0" applyFont="1" applyFill="1" applyBorder="1" applyAlignment="1">
      <alignment horizontal="center"/>
    </xf>
    <xf numFmtId="0" fontId="2" fillId="15" borderId="21" xfId="0" applyFont="1" applyFill="1" applyBorder="1" applyAlignment="1">
      <alignment horizontal="center"/>
    </xf>
    <xf numFmtId="0" fontId="2" fillId="2" borderId="21" xfId="0" applyFont="1" applyFill="1" applyBorder="1" applyAlignment="1">
      <alignment horizontal="center"/>
    </xf>
    <xf numFmtId="0" fontId="2" fillId="16" borderId="21" xfId="0" applyFont="1" applyFill="1" applyBorder="1" applyAlignment="1">
      <alignment horizontal="center"/>
    </xf>
    <xf numFmtId="0" fontId="2" fillId="2" borderId="29" xfId="0" applyFont="1" applyFill="1" applyBorder="1"/>
    <xf numFmtId="0" fontId="2" fillId="2" borderId="28" xfId="0" applyFont="1" applyFill="1" applyBorder="1"/>
    <xf numFmtId="0" fontId="2" fillId="2" borderId="21" xfId="0" applyFont="1" applyFill="1" applyBorder="1"/>
    <xf numFmtId="0" fontId="40" fillId="2" borderId="29" xfId="0" applyFont="1" applyFill="1" applyBorder="1"/>
    <xf numFmtId="0" fontId="40" fillId="2" borderId="28" xfId="0" applyFont="1" applyFill="1" applyBorder="1"/>
    <xf numFmtId="0" fontId="40" fillId="2" borderId="21" xfId="0" applyFont="1" applyFill="1" applyBorder="1"/>
    <xf numFmtId="0" fontId="40" fillId="2" borderId="0" xfId="0" applyFont="1" applyFill="1"/>
    <xf numFmtId="165" fontId="4" fillId="14" borderId="29" xfId="0" applyNumberFormat="1" applyFont="1" applyFill="1" applyBorder="1" applyAlignment="1">
      <alignment horizontal="right"/>
    </xf>
    <xf numFmtId="3" fontId="4" fillId="14" borderId="28" xfId="0" applyNumberFormat="1" applyFont="1" applyFill="1" applyBorder="1" applyAlignment="1">
      <alignment horizontal="right"/>
    </xf>
    <xf numFmtId="164" fontId="4" fillId="14" borderId="28" xfId="0" applyNumberFormat="1" applyFont="1" applyFill="1" applyBorder="1" applyAlignment="1">
      <alignment horizontal="right"/>
    </xf>
    <xf numFmtId="174" fontId="4" fillId="14" borderId="21" xfId="0" applyNumberFormat="1" applyFont="1" applyFill="1" applyBorder="1" applyAlignment="1">
      <alignment horizontal="right"/>
    </xf>
    <xf numFmtId="0" fontId="4" fillId="14" borderId="0" xfId="0" applyFont="1" applyFill="1" applyAlignment="1">
      <alignment horizontal="right"/>
    </xf>
    <xf numFmtId="0" fontId="4" fillId="15" borderId="0" xfId="0" applyFont="1" applyFill="1" applyAlignment="1">
      <alignment horizontal="right"/>
    </xf>
    <xf numFmtId="0" fontId="4" fillId="16" borderId="0" xfId="0" applyFont="1" applyFill="1" applyAlignment="1">
      <alignment horizontal="right"/>
    </xf>
    <xf numFmtId="3" fontId="4" fillId="14" borderId="29" xfId="0" applyNumberFormat="1" applyFont="1" applyFill="1" applyBorder="1" applyAlignment="1">
      <alignment horizontal="right"/>
    </xf>
    <xf numFmtId="165" fontId="4" fillId="14" borderId="28" xfId="0" applyNumberFormat="1" applyFont="1" applyFill="1" applyBorder="1" applyAlignment="1">
      <alignment horizontal="right"/>
    </xf>
    <xf numFmtId="3" fontId="4" fillId="2" borderId="0" xfId="0" applyNumberFormat="1" applyFont="1" applyFill="1"/>
    <xf numFmtId="164" fontId="4" fillId="2" borderId="0" xfId="0" applyNumberFormat="1" applyFont="1" applyFill="1"/>
    <xf numFmtId="165" fontId="4" fillId="15" borderId="29" xfId="0" applyNumberFormat="1" applyFont="1" applyFill="1" applyBorder="1" applyAlignment="1">
      <alignment horizontal="right"/>
    </xf>
    <xf numFmtId="175" fontId="4" fillId="15" borderId="29" xfId="0" applyNumberFormat="1" applyFont="1" applyFill="1" applyBorder="1" applyAlignment="1">
      <alignment horizontal="right"/>
    </xf>
    <xf numFmtId="165" fontId="4" fillId="16" borderId="29" xfId="0" applyNumberFormat="1" applyFont="1" applyFill="1" applyBorder="1" applyAlignment="1">
      <alignment horizontal="right"/>
    </xf>
    <xf numFmtId="175" fontId="4" fillId="16" borderId="29" xfId="0" applyNumberFormat="1" applyFont="1" applyFill="1" applyBorder="1" applyAlignment="1">
      <alignment horizontal="right"/>
    </xf>
    <xf numFmtId="3" fontId="4" fillId="15" borderId="28" xfId="0" applyNumberFormat="1" applyFont="1" applyFill="1" applyBorder="1" applyAlignment="1">
      <alignment horizontal="right"/>
    </xf>
    <xf numFmtId="176" fontId="4" fillId="15" borderId="28" xfId="0" applyNumberFormat="1" applyFont="1" applyFill="1" applyBorder="1" applyAlignment="1">
      <alignment horizontal="right"/>
    </xf>
    <xf numFmtId="3" fontId="4" fillId="16" borderId="28" xfId="0" applyNumberFormat="1" applyFont="1" applyFill="1" applyBorder="1" applyAlignment="1">
      <alignment horizontal="right"/>
    </xf>
    <xf numFmtId="176" fontId="4" fillId="16" borderId="28" xfId="0" applyNumberFormat="1" applyFont="1" applyFill="1" applyBorder="1" applyAlignment="1">
      <alignment horizontal="right"/>
    </xf>
    <xf numFmtId="164" fontId="4" fillId="15" borderId="28" xfId="0" applyNumberFormat="1" applyFont="1" applyFill="1" applyBorder="1" applyAlignment="1">
      <alignment horizontal="right"/>
    </xf>
    <xf numFmtId="177" fontId="4" fillId="15" borderId="28" xfId="0" applyNumberFormat="1" applyFont="1" applyFill="1" applyBorder="1" applyAlignment="1">
      <alignment horizontal="right"/>
    </xf>
    <xf numFmtId="164" fontId="4" fillId="16" borderId="28" xfId="0" applyNumberFormat="1" applyFont="1" applyFill="1" applyBorder="1" applyAlignment="1">
      <alignment horizontal="right"/>
    </xf>
    <xf numFmtId="177" fontId="4" fillId="16" borderId="28" xfId="0" applyNumberFormat="1" applyFont="1" applyFill="1" applyBorder="1" applyAlignment="1">
      <alignment horizontal="right"/>
    </xf>
    <xf numFmtId="174" fontId="4" fillId="15" borderId="21" xfId="0" applyNumberFormat="1" applyFont="1" applyFill="1" applyBorder="1" applyAlignment="1">
      <alignment horizontal="right"/>
    </xf>
    <xf numFmtId="176" fontId="4" fillId="15" borderId="21" xfId="0" applyNumberFormat="1" applyFont="1" applyFill="1" applyBorder="1" applyAlignment="1">
      <alignment horizontal="right"/>
    </xf>
    <xf numFmtId="174" fontId="4" fillId="16" borderId="21" xfId="0" applyNumberFormat="1" applyFont="1" applyFill="1" applyBorder="1" applyAlignment="1">
      <alignment horizontal="right"/>
    </xf>
    <xf numFmtId="176" fontId="4" fillId="16" borderId="21" xfId="0" applyNumberFormat="1" applyFont="1" applyFill="1" applyBorder="1" applyAlignment="1">
      <alignment horizontal="right"/>
    </xf>
    <xf numFmtId="3" fontId="4" fillId="15" borderId="29" xfId="0" applyNumberFormat="1" applyFont="1" applyFill="1" applyBorder="1" applyAlignment="1">
      <alignment horizontal="right"/>
    </xf>
    <xf numFmtId="176" fontId="4" fillId="15" borderId="29" xfId="0" applyNumberFormat="1" applyFont="1" applyFill="1" applyBorder="1" applyAlignment="1">
      <alignment horizontal="right"/>
    </xf>
    <xf numFmtId="3" fontId="4" fillId="16" borderId="29" xfId="0" applyNumberFormat="1" applyFont="1" applyFill="1" applyBorder="1" applyAlignment="1">
      <alignment horizontal="right"/>
    </xf>
    <xf numFmtId="176" fontId="4" fillId="16" borderId="29" xfId="0" applyNumberFormat="1" applyFont="1" applyFill="1" applyBorder="1" applyAlignment="1">
      <alignment horizontal="right"/>
    </xf>
    <xf numFmtId="165" fontId="4" fillId="15" borderId="28" xfId="0" applyNumberFormat="1" applyFont="1" applyFill="1" applyBorder="1" applyAlignment="1">
      <alignment horizontal="right"/>
    </xf>
    <xf numFmtId="175" fontId="4" fillId="15" borderId="28" xfId="0" applyNumberFormat="1" applyFont="1" applyFill="1" applyBorder="1" applyAlignment="1">
      <alignment horizontal="right"/>
    </xf>
    <xf numFmtId="165" fontId="4" fillId="16" borderId="28" xfId="0" applyNumberFormat="1" applyFont="1" applyFill="1" applyBorder="1" applyAlignment="1">
      <alignment horizontal="right"/>
    </xf>
    <xf numFmtId="175" fontId="4" fillId="16" borderId="28" xfId="0" applyNumberFormat="1" applyFont="1" applyFill="1" applyBorder="1" applyAlignment="1">
      <alignment horizontal="right"/>
    </xf>
    <xf numFmtId="178" fontId="4" fillId="15" borderId="21" xfId="0" applyNumberFormat="1" applyFont="1" applyFill="1" applyBorder="1" applyAlignment="1">
      <alignment horizontal="right"/>
    </xf>
    <xf numFmtId="178" fontId="4" fillId="16" borderId="21" xfId="0" applyNumberFormat="1" applyFont="1" applyFill="1" applyBorder="1" applyAlignment="1">
      <alignment horizontal="right"/>
    </xf>
    <xf numFmtId="0" fontId="29" fillId="5" borderId="0" xfId="0" applyFont="1" applyFill="1"/>
    <xf numFmtId="0" fontId="17" fillId="10" borderId="0" xfId="0" applyFont="1" applyFill="1" applyBorder="1" applyAlignment="1">
      <alignment vertical="center"/>
    </xf>
    <xf numFmtId="0" fontId="31" fillId="2" borderId="0" xfId="0" applyFont="1" applyFill="1" applyAlignment="1">
      <alignment wrapText="1"/>
    </xf>
    <xf numFmtId="0" fontId="4" fillId="2" borderId="0" xfId="0" applyFont="1" applyFill="1" applyBorder="1" applyAlignment="1">
      <alignment horizontal="left" vertical="center"/>
    </xf>
    <xf numFmtId="166" fontId="4" fillId="2" borderId="0" xfId="0" applyNumberFormat="1" applyFont="1" applyFill="1" applyBorder="1" applyAlignment="1">
      <alignment horizontal="right" vertical="center"/>
    </xf>
    <xf numFmtId="0" fontId="19" fillId="2" borderId="0" xfId="0" applyFont="1" applyFill="1" applyBorder="1" applyAlignment="1">
      <alignment horizontal="left" vertical="center"/>
    </xf>
    <xf numFmtId="0" fontId="16" fillId="2" borderId="0" xfId="0" applyFont="1" applyFill="1" applyBorder="1" applyAlignment="1">
      <alignment vertical="center"/>
    </xf>
    <xf numFmtId="0" fontId="15" fillId="8" borderId="0" xfId="0" applyFont="1" applyFill="1" applyBorder="1" applyAlignment="1">
      <alignment vertical="center"/>
    </xf>
    <xf numFmtId="0" fontId="4" fillId="2" borderId="0" xfId="0" applyFont="1" applyFill="1" applyBorder="1" applyAlignment="1">
      <alignment vertical="center"/>
    </xf>
    <xf numFmtId="0" fontId="17" fillId="10" borderId="0" xfId="0" applyFont="1" applyFill="1" applyBorder="1" applyAlignment="1">
      <alignment vertical="center"/>
    </xf>
    <xf numFmtId="0" fontId="16" fillId="9" borderId="12" xfId="0" applyFont="1" applyFill="1" applyBorder="1" applyAlignment="1">
      <alignment vertical="center"/>
    </xf>
    <xf numFmtId="0" fontId="3" fillId="9" borderId="9" xfId="0" applyFont="1" applyFill="1" applyBorder="1" applyAlignment="1">
      <alignment vertical="center"/>
    </xf>
    <xf numFmtId="0" fontId="3" fillId="9" borderId="18" xfId="0" applyFont="1" applyFill="1" applyBorder="1" applyAlignment="1">
      <alignment vertical="center"/>
    </xf>
    <xf numFmtId="0" fontId="3" fillId="9" borderId="12" xfId="0" applyFont="1" applyFill="1" applyBorder="1" applyAlignment="1">
      <alignment vertical="center"/>
    </xf>
    <xf numFmtId="0" fontId="3" fillId="9" borderId="15" xfId="0" applyFont="1" applyFill="1" applyBorder="1" applyAlignment="1">
      <alignment vertical="center"/>
    </xf>
    <xf numFmtId="0" fontId="3" fillId="4" borderId="7" xfId="0" applyFont="1" applyFill="1" applyBorder="1" applyAlignment="1">
      <alignment vertical="center"/>
    </xf>
    <xf numFmtId="0" fontId="3" fillId="4" borderId="3" xfId="0" applyFont="1" applyFill="1" applyBorder="1" applyAlignment="1">
      <alignment vertical="center"/>
    </xf>
    <xf numFmtId="0" fontId="14" fillId="9" borderId="10" xfId="0" applyFont="1" applyFill="1" applyBorder="1" applyAlignment="1">
      <alignment horizontal="left" vertical="center"/>
    </xf>
    <xf numFmtId="0" fontId="2" fillId="9" borderId="8" xfId="0" applyFont="1" applyFill="1" applyBorder="1" applyAlignment="1">
      <alignment horizontal="left" vertical="center"/>
    </xf>
    <xf numFmtId="0" fontId="2" fillId="9" borderId="16" xfId="0" applyFont="1" applyFill="1" applyBorder="1" applyAlignment="1">
      <alignment horizontal="left" vertical="center"/>
    </xf>
    <xf numFmtId="0" fontId="2" fillId="9" borderId="10" xfId="0" applyFont="1" applyFill="1" applyBorder="1" applyAlignment="1">
      <alignment horizontal="left" vertical="center"/>
    </xf>
    <xf numFmtId="0" fontId="2" fillId="9" borderId="13" xfId="0" applyFont="1" applyFill="1" applyBorder="1" applyAlignment="1">
      <alignment horizontal="left" vertical="center"/>
    </xf>
    <xf numFmtId="0" fontId="2" fillId="4" borderId="5" xfId="0" applyFont="1" applyFill="1" applyBorder="1" applyAlignment="1">
      <alignment horizontal="left" vertical="center"/>
    </xf>
    <xf numFmtId="0" fontId="2" fillId="4" borderId="1" xfId="0" applyFont="1" applyFill="1" applyBorder="1" applyAlignment="1">
      <alignment horizontal="left" vertical="center"/>
    </xf>
    <xf numFmtId="164" fontId="10" fillId="9" borderId="11" xfId="0" applyNumberFormat="1" applyFont="1" applyFill="1" applyBorder="1" applyAlignment="1">
      <alignment horizontal="left" vertical="center"/>
    </xf>
    <xf numFmtId="164" fontId="2" fillId="9" borderId="2" xfId="0" applyNumberFormat="1" applyFont="1" applyFill="1" applyBorder="1" applyAlignment="1">
      <alignment horizontal="left" vertical="center"/>
    </xf>
    <xf numFmtId="164" fontId="2" fillId="9" borderId="17" xfId="0" applyNumberFormat="1" applyFont="1" applyFill="1" applyBorder="1" applyAlignment="1">
      <alignment horizontal="left" vertical="center"/>
    </xf>
    <xf numFmtId="164" fontId="2" fillId="9" borderId="11" xfId="0" applyNumberFormat="1" applyFont="1" applyFill="1" applyBorder="1" applyAlignment="1">
      <alignment horizontal="left" vertical="center"/>
    </xf>
    <xf numFmtId="166" fontId="10" fillId="9" borderId="11" xfId="0" applyNumberFormat="1" applyFont="1" applyFill="1" applyBorder="1" applyAlignment="1">
      <alignment horizontal="left" vertical="center"/>
    </xf>
    <xf numFmtId="166" fontId="2" fillId="9" borderId="2" xfId="0" applyNumberFormat="1" applyFont="1" applyFill="1" applyBorder="1" applyAlignment="1">
      <alignment horizontal="left" vertical="center"/>
    </xf>
    <xf numFmtId="166" fontId="2" fillId="9" borderId="17" xfId="0" applyNumberFormat="1" applyFont="1" applyFill="1" applyBorder="1" applyAlignment="1">
      <alignment horizontal="left" vertical="center"/>
    </xf>
    <xf numFmtId="166" fontId="2" fillId="9" borderId="11" xfId="0" applyNumberFormat="1" applyFont="1" applyFill="1" applyBorder="1" applyAlignment="1">
      <alignment horizontal="left" vertical="center"/>
    </xf>
    <xf numFmtId="0" fontId="5" fillId="5" borderId="0" xfId="0" applyFont="1" applyFill="1" applyBorder="1" applyAlignment="1">
      <alignment vertical="center"/>
    </xf>
    <xf numFmtId="0" fontId="10" fillId="2" borderId="0" xfId="0" applyFont="1" applyFill="1" applyBorder="1" applyAlignment="1">
      <alignment vertical="center"/>
    </xf>
    <xf numFmtId="0" fontId="12" fillId="2" borderId="0" xfId="0" applyFont="1" applyFill="1" applyBorder="1" applyAlignment="1">
      <alignment vertical="center"/>
    </xf>
    <xf numFmtId="0" fontId="13" fillId="3" borderId="0" xfId="0" applyFont="1" applyFill="1" applyBorder="1" applyAlignment="1">
      <alignment horizontal="center" vertical="center"/>
    </xf>
    <xf numFmtId="0" fontId="6" fillId="5" borderId="0" xfId="0" applyFont="1" applyFill="1"/>
    <xf numFmtId="0" fontId="28" fillId="2" borderId="0" xfId="0" applyFont="1" applyFill="1"/>
    <xf numFmtId="0" fontId="29" fillId="5" borderId="0" xfId="0" applyFont="1" applyFill="1"/>
    <xf numFmtId="0" fontId="30" fillId="2" borderId="0" xfId="0" applyFont="1" applyFill="1" applyAlignment="1">
      <alignment horizontal="center"/>
    </xf>
    <xf numFmtId="0" fontId="31" fillId="2" borderId="0" xfId="0" applyFont="1" applyFill="1" applyAlignment="1">
      <alignment wrapText="1"/>
    </xf>
    <xf numFmtId="0" fontId="12" fillId="2" borderId="0" xfId="0" applyFont="1" applyFill="1"/>
    <xf numFmtId="0" fontId="33" fillId="2" borderId="0" xfId="0" applyFont="1" applyFill="1"/>
    <xf numFmtId="0" fontId="17" fillId="5" borderId="0" xfId="0" applyFont="1" applyFill="1"/>
    <xf numFmtId="171" fontId="34" fillId="2" borderId="0" xfId="0" applyNumberFormat="1" applyFont="1" applyFill="1" applyAlignment="1">
      <alignment horizontal="center"/>
    </xf>
    <xf numFmtId="0" fontId="34" fillId="2" borderId="0" xfId="0" applyFont="1" applyFill="1" applyAlignment="1">
      <alignment horizontal="center"/>
    </xf>
    <xf numFmtId="172" fontId="34" fillId="2" borderId="0" xfId="0" applyNumberFormat="1" applyFont="1" applyFill="1" applyAlignment="1">
      <alignment horizontal="center"/>
    </xf>
    <xf numFmtId="0" fontId="41" fillId="5" borderId="0" xfId="0" applyFont="1" applyFill="1"/>
    <xf numFmtId="0" fontId="39" fillId="2" borderId="0" xfId="0" applyFont="1" applyFill="1" applyAlignment="1">
      <alignment horizontal="center"/>
    </xf>
    <xf numFmtId="0" fontId="31" fillId="2" borderId="0" xfId="0" applyFont="1" applyFill="1" applyAlignment="1">
      <alignment horizontal="center"/>
    </xf>
    <xf numFmtId="0" fontId="29" fillId="14" borderId="0" xfId="0" applyFont="1" applyFill="1" applyAlignment="1">
      <alignment horizontal="right"/>
    </xf>
    <xf numFmtId="0" fontId="29" fillId="15" borderId="0" xfId="0" applyFont="1" applyFill="1" applyAlignment="1">
      <alignment horizontal="right"/>
    </xf>
    <xf numFmtId="0" fontId="29" fillId="16" borderId="0" xfId="0" applyFont="1" applyFill="1" applyAlignment="1">
      <alignment horizontal="right"/>
    </xf>
    <xf numFmtId="0" fontId="2" fillId="8" borderId="19" xfId="0" applyFont="1" applyFill="1" applyBorder="1" applyAlignment="1">
      <alignment horizontal="center"/>
    </xf>
    <xf numFmtId="0" fontId="2" fillId="2" borderId="29" xfId="0" applyFont="1" applyFill="1" applyBorder="1"/>
    <xf numFmtId="175" fontId="4" fillId="16" borderId="29" xfId="0" applyNumberFormat="1" applyFont="1" applyFill="1" applyBorder="1" applyAlignment="1">
      <alignment horizontal="right"/>
    </xf>
    <xf numFmtId="164" fontId="4" fillId="14" borderId="28" xfId="0" applyNumberFormat="1" applyFont="1" applyFill="1" applyBorder="1" applyAlignment="1">
      <alignment horizontal="right"/>
    </xf>
    <xf numFmtId="177" fontId="4" fillId="15" borderId="28" xfId="0" applyNumberFormat="1" applyFont="1" applyFill="1" applyBorder="1" applyAlignment="1">
      <alignment horizontal="right"/>
    </xf>
    <xf numFmtId="3" fontId="4" fillId="14" borderId="28" xfId="0" applyNumberFormat="1" applyFont="1" applyFill="1" applyBorder="1" applyAlignment="1">
      <alignment horizontal="right"/>
    </xf>
    <xf numFmtId="0" fontId="2" fillId="14" borderId="29" xfId="0" applyFont="1" applyFill="1" applyBorder="1" applyAlignment="1">
      <alignment horizontal="center"/>
    </xf>
    <xf numFmtId="0" fontId="0" fillId="0" borderId="0" xfId="0"/>
    <xf numFmtId="0" fontId="4" fillId="2" borderId="0" xfId="0" applyFont="1" applyFill="1" applyAlignment="1">
      <alignment horizontal="left" vertical="center"/>
    </xf>
    <xf numFmtId="0" fontId="23" fillId="10" borderId="0" xfId="0" applyFont="1" applyFill="1" applyBorder="1" applyAlignment="1">
      <alignment vertical="center"/>
    </xf>
    <xf numFmtId="0" fontId="5" fillId="7" borderId="0" xfId="0" applyFont="1" applyFill="1" applyBorder="1" applyAlignment="1">
      <alignment horizontal="left" vertical="center"/>
    </xf>
    <xf numFmtId="0" fontId="16" fillId="2" borderId="0" xfId="0" applyFont="1" applyFill="1" applyAlignment="1">
      <alignment horizontal="left" vertical="center" wrapText="1"/>
    </xf>
    <xf numFmtId="0" fontId="27" fillId="2" borderId="0" xfId="0" applyFont="1" applyFill="1" applyBorder="1" applyAlignment="1">
      <alignment horizontal="left" vertical="center"/>
    </xf>
    <xf numFmtId="165" fontId="42" fillId="9" borderId="30" xfId="0" applyNumberFormat="1" applyFont="1" applyFill="1" applyBorder="1" applyAlignment="1">
      <alignment horizontal="left" vertical="center"/>
    </xf>
    <xf numFmtId="165" fontId="42" fillId="9" borderId="0" xfId="0" applyNumberFormat="1" applyFont="1" applyFill="1" applyBorder="1" applyAlignment="1">
      <alignment horizontal="left" vertical="center"/>
    </xf>
    <xf numFmtId="165" fontId="42" fillId="9" borderId="31" xfId="0" applyNumberFormat="1" applyFont="1" applyFill="1" applyBorder="1" applyAlignment="1">
      <alignment horizontal="left" vertical="center"/>
    </xf>
    <xf numFmtId="164" fontId="42" fillId="4" borderId="0" xfId="0" applyNumberFormat="1" applyFont="1" applyFill="1" applyBorder="1" applyAlignment="1">
      <alignment horizontal="left" vertical="center"/>
    </xf>
    <xf numFmtId="164" fontId="42" fillId="4" borderId="6" xfId="0" applyNumberFormat="1" applyFont="1" applyFill="1" applyBorder="1" applyAlignment="1">
      <alignment horizontal="left" vertical="center"/>
    </xf>
    <xf numFmtId="166" fontId="10" fillId="9" borderId="2" xfId="0" applyNumberFormat="1" applyFont="1" applyFill="1" applyBorder="1" applyAlignment="1">
      <alignment horizontal="left" vertical="center"/>
    </xf>
    <xf numFmtId="166" fontId="10" fillId="9" borderId="17" xfId="0" applyNumberFormat="1" applyFont="1" applyFill="1" applyBorder="1" applyAlignment="1">
      <alignment horizontal="left" vertical="center"/>
    </xf>
    <xf numFmtId="166" fontId="10" fillId="9" borderId="14" xfId="0" applyNumberFormat="1" applyFont="1" applyFill="1" applyBorder="1" applyAlignment="1">
      <alignment horizontal="left" vertical="center"/>
    </xf>
    <xf numFmtId="166" fontId="10" fillId="4" borderId="6" xfId="0" applyNumberFormat="1" applyFont="1" applyFill="1" applyBorder="1" applyAlignment="1">
      <alignment horizontal="left" vertical="center"/>
    </xf>
    <xf numFmtId="166" fontId="10" fillId="4" borderId="2" xfId="0" applyNumberFormat="1" applyFont="1" applyFill="1" applyBorder="1" applyAlignment="1">
      <alignment horizontal="left" vertical="center"/>
    </xf>
    <xf numFmtId="164" fontId="10" fillId="9" borderId="2" xfId="0" applyNumberFormat="1" applyFont="1" applyFill="1" applyBorder="1" applyAlignment="1">
      <alignment horizontal="left" vertical="center"/>
    </xf>
    <xf numFmtId="164" fontId="10" fillId="9" borderId="17" xfId="0" applyNumberFormat="1" applyFont="1" applyFill="1" applyBorder="1" applyAlignment="1">
      <alignment horizontal="left" vertical="center"/>
    </xf>
    <xf numFmtId="164" fontId="10" fillId="9" borderId="14" xfId="0" applyNumberFormat="1" applyFont="1" applyFill="1" applyBorder="1" applyAlignment="1">
      <alignment horizontal="left" vertical="center"/>
    </xf>
    <xf numFmtId="164" fontId="10" fillId="4" borderId="6" xfId="0" applyNumberFormat="1" applyFont="1" applyFill="1" applyBorder="1" applyAlignment="1">
      <alignment horizontal="left" vertical="center"/>
    </xf>
    <xf numFmtId="164" fontId="10" fillId="4" borderId="2" xfId="0" applyNumberFormat="1" applyFont="1" applyFill="1" applyBorder="1" applyAlignment="1">
      <alignment horizontal="left" vertical="center"/>
    </xf>
  </cellXfs>
  <cellStyles count="2">
    <cellStyle name="Hyperlink" xfId="1" builtinId="8"/>
    <cellStyle name="Normal" xfId="0" builtinId="0"/>
  </cellStyles>
  <dxfs count="18">
    <dxf>
      <font>
        <b/>
        <sz val="10"/>
        <color rgb="FFB84A2D"/>
        <name val="Consolas"/>
        <charset val="1"/>
      </font>
      <fill>
        <patternFill>
          <bgColor rgb="FFF2D7CF"/>
        </patternFill>
      </fill>
    </dxf>
    <dxf>
      <font>
        <b/>
        <sz val="10"/>
        <color rgb="FF2F6B33"/>
        <name val="Consolas"/>
        <charset val="1"/>
      </font>
      <fill>
        <patternFill>
          <bgColor rgb="FFD7E8D4"/>
        </patternFill>
      </fill>
    </dxf>
    <dxf>
      <fill>
        <patternFill>
          <bgColor rgb="FFD7E8D4"/>
        </patternFill>
      </fill>
    </dxf>
    <dxf>
      <fill>
        <patternFill>
          <bgColor rgb="FFF2D7CF"/>
        </patternFill>
      </fill>
    </dxf>
    <dxf>
      <font>
        <color rgb="FF596154"/>
      </font>
      <fill>
        <patternFill>
          <bgColor rgb="FFD9E0D5"/>
        </patternFill>
      </fill>
    </dxf>
    <dxf>
      <font>
        <color rgb="FFA34A32"/>
      </font>
      <fill>
        <patternFill>
          <bgColor rgb="FFE7C9BE"/>
        </patternFill>
      </fill>
    </dxf>
    <dxf>
      <font>
        <color rgb="FF596154"/>
      </font>
      <fill>
        <patternFill>
          <bgColor rgb="FFD9E0D5"/>
        </patternFill>
      </fill>
    </dxf>
    <dxf>
      <font>
        <color rgb="FFA34A32"/>
      </font>
      <fill>
        <patternFill>
          <bgColor rgb="FFE7C9BE"/>
        </patternFill>
      </fill>
    </dxf>
    <dxf>
      <font>
        <color rgb="FF20211F"/>
      </font>
      <fill>
        <patternFill>
          <bgColor rgb="FFE9DFC7"/>
        </patternFill>
      </fill>
    </dxf>
    <dxf>
      <font>
        <color rgb="FFA34A32"/>
      </font>
      <fill>
        <patternFill>
          <bgColor rgb="FFE7C9BE"/>
        </patternFill>
      </fill>
    </dxf>
    <dxf>
      <font>
        <color rgb="FF596154"/>
      </font>
      <fill>
        <patternFill>
          <bgColor rgb="FFD9E0D5"/>
        </patternFill>
      </fill>
    </dxf>
    <dxf>
      <font>
        <color rgb="FF20211F"/>
      </font>
      <fill>
        <patternFill>
          <bgColor rgb="FFE9DFC7"/>
        </patternFill>
      </fill>
    </dxf>
    <dxf>
      <font>
        <color rgb="FFA34A32"/>
      </font>
      <fill>
        <patternFill>
          <bgColor rgb="FFE7C9BE"/>
        </patternFill>
      </fill>
    </dxf>
    <dxf>
      <font>
        <color rgb="FF596154"/>
      </font>
      <fill>
        <patternFill>
          <bgColor rgb="FFD9E0D5"/>
        </patternFill>
      </fill>
    </dxf>
    <dxf>
      <font>
        <color rgb="FFA34A32"/>
      </font>
      <fill>
        <patternFill>
          <bgColor rgb="FFE7C9BE"/>
        </patternFill>
      </fill>
    </dxf>
    <dxf>
      <font>
        <color rgb="FF596154"/>
      </font>
      <fill>
        <patternFill>
          <bgColor rgb="FFD9E0D5"/>
        </patternFill>
      </fill>
    </dxf>
    <dxf>
      <font>
        <color rgb="FFA34A32"/>
      </font>
      <fill>
        <patternFill>
          <bgColor rgb="FFE7C9BE"/>
        </patternFill>
      </fill>
    </dxf>
    <dxf>
      <font>
        <color rgb="FF596154"/>
      </font>
      <fill>
        <patternFill>
          <bgColor rgb="FFD9E0D5"/>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2F6B33"/>
      <rgbColor rgb="FF000080"/>
      <rgbColor rgb="FF806530"/>
      <rgbColor rgb="FF800080"/>
      <rgbColor rgb="FF008080"/>
      <rgbColor rgb="FFC0C0C0"/>
      <rgbColor rgb="FF878787"/>
      <rgbColor rgb="FF9999FF"/>
      <rgbColor rgb="FFBE4B48"/>
      <rgbColor rgb="FFFFF7DA"/>
      <rgbColor rgb="FFFAF7EE"/>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D7E8D4"/>
      <rgbColor rgb="FFEBE4D2"/>
      <rgbColor rgb="FF99CCFF"/>
      <rgbColor rgb="FFFF99CC"/>
      <rgbColor rgb="FFCC99FF"/>
      <rgbColor rgb="FFF2D7CF"/>
      <rgbColor rgb="FF4F81BD"/>
      <rgbColor rgb="FF33CCCC"/>
      <rgbColor rgb="FF99CC00"/>
      <rgbColor rgb="FFFFCC00"/>
      <rgbColor rgb="FFFF9900"/>
      <rgbColor rgb="FFFF6600"/>
      <rgbColor rgb="FF4A7EBB"/>
      <rgbColor rgb="FF969696"/>
      <rgbColor rgb="FF003366"/>
      <rgbColor rgb="FF339966"/>
      <rgbColor rgb="FF15191F"/>
      <rgbColor rgb="FF333300"/>
      <rgbColor rgb="FFB84A2D"/>
      <rgbColor rgb="FF993366"/>
      <rgbColor rgb="FF333399"/>
      <rgbColor rgb="FF4A5364"/>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Georgia" panose="02040502050405020303" pitchFamily="18" charset="0"/>
              </a:defRPr>
            </a:pPr>
            <a:r>
              <a:rPr lang="en-US">
                <a:latin typeface="Georgia" panose="02040502050405020303" pitchFamily="18" charset="0"/>
              </a:rPr>
              <a:t>Developer profit by scenario</a:t>
            </a:r>
          </a:p>
        </c:rich>
      </c:tx>
      <c:overlay val="0"/>
    </c:title>
    <c:autoTitleDeleted val="0"/>
    <c:plotArea>
      <c:layout/>
      <c:barChart>
        <c:barDir val="col"/>
        <c:grouping val="clustered"/>
        <c:varyColors val="0"/>
        <c:ser>
          <c:idx val="0"/>
          <c:order val="0"/>
          <c:tx>
            <c:strRef>
              <c:f>'Scenario Comparison'!$BB$1</c:f>
              <c:strCache>
                <c:ptCount val="1"/>
                <c:pt idx="0">
                  <c:v>Developer profit</c:v>
                </c:pt>
              </c:strCache>
            </c:strRef>
          </c:tx>
          <c:invertIfNegative val="0"/>
          <c:dPt>
            <c:idx val="0"/>
            <c:invertIfNegative val="0"/>
            <c:bubble3D val="0"/>
            <c:spPr>
              <a:solidFill>
                <a:srgbClr val="20211F"/>
              </a:solidFill>
            </c:spPr>
            <c:extLst>
              <c:ext xmlns:c16="http://schemas.microsoft.com/office/drawing/2014/chart" uri="{C3380CC4-5D6E-409C-BE32-E72D297353CC}">
                <c16:uniqueId val="{00000005-9653-434D-B41D-F000100A6200}"/>
              </c:ext>
            </c:extLst>
          </c:dPt>
          <c:dPt>
            <c:idx val="1"/>
            <c:invertIfNegative val="0"/>
            <c:bubble3D val="0"/>
            <c:spPr>
              <a:solidFill>
                <a:srgbClr val="A34A32"/>
              </a:solidFill>
            </c:spPr>
            <c:extLst>
              <c:ext xmlns:c16="http://schemas.microsoft.com/office/drawing/2014/chart" uri="{C3380CC4-5D6E-409C-BE32-E72D297353CC}">
                <c16:uniqueId val="{00000006-9653-434D-B41D-F000100A6200}"/>
              </c:ext>
            </c:extLst>
          </c:dPt>
          <c:dPt>
            <c:idx val="2"/>
            <c:invertIfNegative val="0"/>
            <c:bubble3D val="0"/>
            <c:spPr>
              <a:solidFill>
                <a:srgbClr val="596154"/>
              </a:solidFill>
            </c:spPr>
            <c:extLst>
              <c:ext xmlns:c16="http://schemas.microsoft.com/office/drawing/2014/chart" uri="{C3380CC4-5D6E-409C-BE32-E72D297353CC}">
                <c16:uniqueId val="{00000007-9653-434D-B41D-F000100A6200}"/>
              </c:ext>
            </c:extLst>
          </c:dPt>
          <c:val>
            <c:numRef>
              <c:f>'Scenario Comparison'!$BB$2:$BB$4</c:f>
            </c:numRef>
          </c:val>
          <c:extLst>
            <c:ext xmlns:c15="http://schemas.microsoft.com/office/drawing/2012/chart" uri="{02D57815-91ED-43cb-92C2-25804820EDAC}">
              <c15:filteredCategoryTitle>
                <c15:cat>
                  <c:multiLvlStrRef>
                    <c:extLst>
                      <c:ext uri="{02D57815-91ED-43cb-92C2-25804820EDAC}">
                        <c15:formulaRef>
                          <c15:sqref>'Scenario Comparison'!$BA$2:$BA$4</c15:sqref>
                        </c15:formulaRef>
                      </c:ext>
                    </c:extLst>
                  </c:multiLvlStrRef>
                </c15:cat>
              </c15:filteredCategoryTitle>
            </c:ext>
            <c:ext xmlns:c16="http://schemas.microsoft.com/office/drawing/2014/chart" uri="{C3380CC4-5D6E-409C-BE32-E72D297353CC}">
              <c16:uniqueId val="{00000004-9653-434D-B41D-F000100A6200}"/>
            </c:ext>
          </c:extLst>
        </c:ser>
        <c:dLbls>
          <c:showLegendKey val="0"/>
          <c:showVal val="0"/>
          <c:showCatName val="0"/>
          <c:showSerName val="0"/>
          <c:showPercent val="0"/>
          <c:showBubbleSize val="0"/>
        </c:dLbls>
        <c:gapWidth val="150"/>
        <c:axId val="158643056"/>
        <c:axId val="230101104"/>
      </c:barChart>
      <c:catAx>
        <c:axId val="158643056"/>
        <c:scaling>
          <c:orientation val="minMax"/>
        </c:scaling>
        <c:delete val="0"/>
        <c:axPos val="b"/>
        <c:numFmt formatCode="General" sourceLinked="1"/>
        <c:majorTickMark val="out"/>
        <c:minorTickMark val="none"/>
        <c:tickLblPos val="nextTo"/>
        <c:crossAx val="230101104"/>
        <c:crosses val="autoZero"/>
        <c:auto val="1"/>
        <c:lblAlgn val="ctr"/>
        <c:lblOffset val="100"/>
        <c:noMultiLvlLbl val="0"/>
      </c:catAx>
      <c:valAx>
        <c:axId val="230101104"/>
        <c:scaling>
          <c:orientation val="minMax"/>
        </c:scaling>
        <c:delete val="0"/>
        <c:axPos val="l"/>
        <c:majorGridlines/>
        <c:numFmt formatCode="#,##0" sourceLinked="1"/>
        <c:majorTickMark val="out"/>
        <c:minorTickMark val="none"/>
        <c:tickLblPos val="nextTo"/>
        <c:crossAx val="158643056"/>
        <c:crosses val="autoZero"/>
        <c:crossBetween val="between"/>
      </c:valAx>
      <c:spPr>
        <a:solidFill>
          <a:srgbClr val="F3F0E8"/>
        </a:solidFill>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3F0E8"/>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Georgia" panose="02040502050405020303" pitchFamily="18" charset="0"/>
              </a:defRPr>
            </a:pPr>
            <a:r>
              <a:rPr lang="en-US">
                <a:latin typeface="Georgia" panose="02040502050405020303" pitchFamily="18" charset="0"/>
              </a:rPr>
              <a:t>Profit on cost by scenario</a:t>
            </a:r>
          </a:p>
        </c:rich>
      </c:tx>
      <c:overlay val="0"/>
    </c:title>
    <c:autoTitleDeleted val="0"/>
    <c:plotArea>
      <c:layout/>
      <c:barChart>
        <c:barDir val="col"/>
        <c:grouping val="clustered"/>
        <c:varyColors val="0"/>
        <c:ser>
          <c:idx val="0"/>
          <c:order val="0"/>
          <c:tx>
            <c:strRef>
              <c:f>'Scenario Comparison'!$BE$1</c:f>
              <c:strCache>
                <c:ptCount val="1"/>
                <c:pt idx="0">
                  <c:v>Profit on cost</c:v>
                </c:pt>
              </c:strCache>
            </c:strRef>
          </c:tx>
          <c:invertIfNegative val="0"/>
          <c:dPt>
            <c:idx val="0"/>
            <c:invertIfNegative val="0"/>
            <c:bubble3D val="0"/>
            <c:spPr>
              <a:solidFill>
                <a:srgbClr val="20211F"/>
              </a:solidFill>
            </c:spPr>
            <c:extLst>
              <c:ext xmlns:c16="http://schemas.microsoft.com/office/drawing/2014/chart" uri="{C3380CC4-5D6E-409C-BE32-E72D297353CC}">
                <c16:uniqueId val="{00000005-F58A-4115-9438-1367214B6811}"/>
              </c:ext>
            </c:extLst>
          </c:dPt>
          <c:dPt>
            <c:idx val="1"/>
            <c:invertIfNegative val="0"/>
            <c:bubble3D val="0"/>
            <c:spPr>
              <a:solidFill>
                <a:srgbClr val="A34A32"/>
              </a:solidFill>
            </c:spPr>
            <c:extLst>
              <c:ext xmlns:c16="http://schemas.microsoft.com/office/drawing/2014/chart" uri="{C3380CC4-5D6E-409C-BE32-E72D297353CC}">
                <c16:uniqueId val="{00000006-F58A-4115-9438-1367214B6811}"/>
              </c:ext>
            </c:extLst>
          </c:dPt>
          <c:dPt>
            <c:idx val="2"/>
            <c:invertIfNegative val="0"/>
            <c:bubble3D val="0"/>
            <c:spPr>
              <a:solidFill>
                <a:srgbClr val="596154"/>
              </a:solidFill>
            </c:spPr>
            <c:extLst>
              <c:ext xmlns:c16="http://schemas.microsoft.com/office/drawing/2014/chart" uri="{C3380CC4-5D6E-409C-BE32-E72D297353CC}">
                <c16:uniqueId val="{00000007-F58A-4115-9438-1367214B6811}"/>
              </c:ext>
            </c:extLst>
          </c:dPt>
          <c:val>
            <c:numRef>
              <c:f>'Scenario Comparison'!$BE$2:$BE$4</c:f>
            </c:numRef>
          </c:val>
          <c:extLst>
            <c:ext xmlns:c15="http://schemas.microsoft.com/office/drawing/2012/chart" uri="{02D57815-91ED-43cb-92C2-25804820EDAC}">
              <c15:filteredCategoryTitle>
                <c15:cat>
                  <c:multiLvlStrRef>
                    <c:extLst>
                      <c:ext uri="{02D57815-91ED-43cb-92C2-25804820EDAC}">
                        <c15:formulaRef>
                          <c15:sqref>'Scenario Comparison'!$BD$2:$BD$4</c15:sqref>
                        </c15:formulaRef>
                      </c:ext>
                    </c:extLst>
                  </c:multiLvlStrRef>
                </c15:cat>
              </c15:filteredCategoryTitle>
            </c:ext>
            <c:ext xmlns:c16="http://schemas.microsoft.com/office/drawing/2014/chart" uri="{C3380CC4-5D6E-409C-BE32-E72D297353CC}">
              <c16:uniqueId val="{00000004-F58A-4115-9438-1367214B6811}"/>
            </c:ext>
          </c:extLst>
        </c:ser>
        <c:dLbls>
          <c:showLegendKey val="0"/>
          <c:showVal val="0"/>
          <c:showCatName val="0"/>
          <c:showSerName val="0"/>
          <c:showPercent val="0"/>
          <c:showBubbleSize val="0"/>
        </c:dLbls>
        <c:gapWidth val="150"/>
        <c:axId val="230100776"/>
        <c:axId val="230100120"/>
      </c:barChart>
      <c:catAx>
        <c:axId val="230100776"/>
        <c:scaling>
          <c:orientation val="minMax"/>
        </c:scaling>
        <c:delete val="0"/>
        <c:axPos val="b"/>
        <c:numFmt formatCode="General" sourceLinked="1"/>
        <c:majorTickMark val="out"/>
        <c:minorTickMark val="none"/>
        <c:tickLblPos val="nextTo"/>
        <c:crossAx val="230100120"/>
        <c:crosses val="autoZero"/>
        <c:auto val="1"/>
        <c:lblAlgn val="ctr"/>
        <c:lblOffset val="100"/>
        <c:noMultiLvlLbl val="0"/>
      </c:catAx>
      <c:valAx>
        <c:axId val="230100120"/>
        <c:scaling>
          <c:orientation val="minMax"/>
        </c:scaling>
        <c:delete val="0"/>
        <c:axPos val="l"/>
        <c:majorGridlines/>
        <c:numFmt formatCode="0.0%" sourceLinked="1"/>
        <c:majorTickMark val="out"/>
        <c:minorTickMark val="none"/>
        <c:tickLblPos val="nextTo"/>
        <c:crossAx val="230100776"/>
        <c:crosses val="autoZero"/>
        <c:crossBetween val="between"/>
      </c:valAx>
      <c:spPr>
        <a:solidFill>
          <a:srgbClr val="F3F0E8"/>
        </a:solidFill>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rgbClr val="F3F0E8"/>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title>
      <c:tx>
        <c:rich>
          <a:bodyPr rot="0"/>
          <a:lstStyle/>
          <a:p>
            <a:pPr>
              <a:defRPr sz="1300" b="0" u="none" strike="noStrike">
                <a:solidFill>
                  <a:srgbClr val="20211F"/>
                </a:solidFill>
                <a:uFillTx/>
                <a:latin typeface="Georgia" panose="02040502050405020303" pitchFamily="18" charset="0"/>
              </a:defRPr>
            </a:pPr>
            <a:r>
              <a:rPr lang="en-US" sz="1800" b="1" u="none" strike="noStrike">
                <a:solidFill>
                  <a:srgbClr val="20211F"/>
                </a:solidFill>
                <a:uFillTx/>
                <a:latin typeface="Georgia" panose="02040502050405020303" pitchFamily="18" charset="0"/>
              </a:rPr>
              <a:t>Funding profile: closing debt vs cumulative equity</a:t>
            </a:r>
          </a:p>
        </c:rich>
      </c:tx>
      <c:overlay val="0"/>
      <c:spPr>
        <a:noFill/>
        <a:ln w="0">
          <a:noFill/>
        </a:ln>
      </c:spPr>
    </c:title>
    <c:autoTitleDeleted val="0"/>
    <c:plotArea>
      <c:layout/>
      <c:lineChart>
        <c:grouping val="standard"/>
        <c:varyColors val="0"/>
        <c:ser>
          <c:idx val="0"/>
          <c:order val="0"/>
          <c:tx>
            <c:strRef>
              <c:f>Cashflow!$Q$3</c:f>
              <c:strCache>
                <c:ptCount val="1"/>
                <c:pt idx="0">
                  <c:v>Closing debt</c:v>
                </c:pt>
              </c:strCache>
            </c:strRef>
          </c:tx>
          <c:spPr>
            <a:ln w="12600">
              <a:solidFill>
                <a:srgbClr val="A34A32"/>
              </a:solidFill>
              <a:round/>
            </a:ln>
          </c:spPr>
          <c:marker>
            <c:symbol val="none"/>
          </c:marker>
          <c:dLbls>
            <c:spPr>
              <a:noFill/>
              <a:ln>
                <a:noFill/>
              </a:ln>
              <a:effectLst/>
            </c:spPr>
            <c:txPr>
              <a:bodyPr wrap="none"/>
              <a:lstStyle/>
              <a:p>
                <a:pPr>
                  <a:defRPr sz="1000" b="0" u="none" strike="noStrike">
                    <a:uFillTx/>
                    <a:latin typeface="Arial"/>
                  </a:defRPr>
                </a:pPr>
                <a:endParaRPr lang="en-K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12600">
                      <a:solidFill>
                        <a:srgbClr val="000000"/>
                      </a:solidFill>
                    </a:ln>
                  </c:spPr>
                </c15:leaderLines>
              </c:ext>
            </c:extLst>
          </c:dLbls>
          <c:cat>
            <c:numRef>
              <c:f>Cashflow!$A$4:$A$40</c:f>
              <c:numCache>
                <c:formatCode>General</c:formatCode>
                <c:ptCount val="37"/>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numCache>
            </c:numRef>
          </c:cat>
          <c:val>
            <c:numRef>
              <c:f>Cashflow!$Q$4:$Q$40</c:f>
              <c:numCache>
                <c:formatCode>"KES "#,##0;"(KES "#,##0\);\-</c:formatCode>
                <c:ptCount val="37"/>
                <c:pt idx="0">
                  <c:v>0</c:v>
                </c:pt>
                <c:pt idx="1">
                  <c:v>0</c:v>
                </c:pt>
                <c:pt idx="2">
                  <c:v>0</c:v>
                </c:pt>
                <c:pt idx="3">
                  <c:v>0</c:v>
                </c:pt>
                <c:pt idx="4">
                  <c:v>0</c:v>
                </c:pt>
                <c:pt idx="5">
                  <c:v>0</c:v>
                </c:pt>
                <c:pt idx="6">
                  <c:v>0</c:v>
                </c:pt>
                <c:pt idx="7">
                  <c:v>0</c:v>
                </c:pt>
                <c:pt idx="8">
                  <c:v>0</c:v>
                </c:pt>
                <c:pt idx="9">
                  <c:v>15583779.734610371</c:v>
                </c:pt>
                <c:pt idx="10">
                  <c:v>0</c:v>
                </c:pt>
                <c:pt idx="11">
                  <c:v>0</c:v>
                </c:pt>
                <c:pt idx="12">
                  <c:v>0</c:v>
                </c:pt>
                <c:pt idx="13">
                  <c:v>0</c:v>
                </c:pt>
                <c:pt idx="14">
                  <c:v>5926345.5865476057</c:v>
                </c:pt>
                <c:pt idx="15">
                  <c:v>25261106.821954485</c:v>
                </c:pt>
                <c:pt idx="16">
                  <c:v>50696402.168305375</c:v>
                </c:pt>
                <c:pt idx="17">
                  <c:v>73392280.622782439</c:v>
                </c:pt>
                <c:pt idx="18">
                  <c:v>92485936.006377146</c:v>
                </c:pt>
                <c:pt idx="19">
                  <c:v>113015731.03308934</c:v>
                </c:pt>
                <c:pt idx="20">
                  <c:v>128246754.30367941</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smooth val="1"/>
          <c:extLst>
            <c:ext xmlns:c16="http://schemas.microsoft.com/office/drawing/2014/chart" uri="{C3380CC4-5D6E-409C-BE32-E72D297353CC}">
              <c16:uniqueId val="{00000000-7E13-4BAF-9969-C30A1ED3271B}"/>
            </c:ext>
          </c:extLst>
        </c:ser>
        <c:ser>
          <c:idx val="1"/>
          <c:order val="1"/>
          <c:tx>
            <c:strRef>
              <c:f>Cashflow!$S$3</c:f>
              <c:strCache>
                <c:ptCount val="1"/>
                <c:pt idx="0">
                  <c:v>Cum equity</c:v>
                </c:pt>
              </c:strCache>
            </c:strRef>
          </c:tx>
          <c:spPr>
            <a:ln w="12600">
              <a:solidFill>
                <a:srgbClr val="596154"/>
              </a:solidFill>
              <a:round/>
            </a:ln>
          </c:spPr>
          <c:marker>
            <c:symbol val="none"/>
          </c:marker>
          <c:dLbls>
            <c:spPr>
              <a:noFill/>
              <a:ln>
                <a:noFill/>
              </a:ln>
              <a:effectLst/>
            </c:spPr>
            <c:txPr>
              <a:bodyPr wrap="none"/>
              <a:lstStyle/>
              <a:p>
                <a:pPr>
                  <a:defRPr sz="1000" b="0" u="none" strike="noStrike">
                    <a:uFillTx/>
                    <a:latin typeface="Arial"/>
                  </a:defRPr>
                </a:pPr>
                <a:endParaRPr lang="en-K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12600">
                      <a:solidFill>
                        <a:srgbClr val="000000"/>
                      </a:solidFill>
                    </a:ln>
                  </c:spPr>
                </c15:leaderLines>
              </c:ext>
            </c:extLst>
          </c:dLbls>
          <c:cat>
            <c:numRef>
              <c:f>Cashflow!$A$4:$A$40</c:f>
              <c:numCache>
                <c:formatCode>General</c:formatCode>
                <c:ptCount val="37"/>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numCache>
            </c:numRef>
          </c:cat>
          <c:val>
            <c:numRef>
              <c:f>Cashflow!$S$4:$S$40</c:f>
              <c:numCache>
                <c:formatCode>"KES "#,##0;"(KES "#,##0\);\-</c:formatCode>
                <c:ptCount val="37"/>
                <c:pt idx="0">
                  <c:v>-127200000</c:v>
                </c:pt>
                <c:pt idx="1">
                  <c:v>-127200000</c:v>
                </c:pt>
                <c:pt idx="2">
                  <c:v>-127200000</c:v>
                </c:pt>
                <c:pt idx="3">
                  <c:v>-127200000</c:v>
                </c:pt>
                <c:pt idx="4">
                  <c:v>-138546849.52479932</c:v>
                </c:pt>
                <c:pt idx="5">
                  <c:v>-160067107.9585107</c:v>
                </c:pt>
                <c:pt idx="6">
                  <c:v>-188330714.35554281</c:v>
                </c:pt>
                <c:pt idx="7">
                  <c:v>-219848792.60043791</c:v>
                </c:pt>
                <c:pt idx="8">
                  <c:v>-254254652.7242437</c:v>
                </c:pt>
                <c:pt idx="9">
                  <c:v>-277444576.59878397</c:v>
                </c:pt>
                <c:pt idx="10">
                  <c:v>-156435597.36848062</c:v>
                </c:pt>
                <c:pt idx="11">
                  <c:v>-142768941.70632929</c:v>
                </c:pt>
                <c:pt idx="12">
                  <c:v>-124558809.14207563</c:v>
                </c:pt>
                <c:pt idx="13">
                  <c:v>-113056886.38415748</c:v>
                </c:pt>
                <c:pt idx="14">
                  <c:v>-137488422.36107853</c:v>
                </c:pt>
                <c:pt idx="15">
                  <c:v>-160071781.89085999</c:v>
                </c:pt>
                <c:pt idx="16">
                  <c:v>-180844252.53349948</c:v>
                </c:pt>
                <c:pt idx="17">
                  <c:v>-199574454.10965866</c:v>
                </c:pt>
                <c:pt idx="18">
                  <c:v>-215711558.12330982</c:v>
                </c:pt>
                <c:pt idx="19">
                  <c:v>-228575990.93217239</c:v>
                </c:pt>
                <c:pt idx="20">
                  <c:v>-237725422.17004943</c:v>
                </c:pt>
                <c:pt idx="21">
                  <c:v>179822561.70586663</c:v>
                </c:pt>
                <c:pt idx="22">
                  <c:v>179822561.70586663</c:v>
                </c:pt>
                <c:pt idx="23">
                  <c:v>179822561.70586663</c:v>
                </c:pt>
                <c:pt idx="24">
                  <c:v>179822561.70586663</c:v>
                </c:pt>
                <c:pt idx="25">
                  <c:v>179822561.70586663</c:v>
                </c:pt>
                <c:pt idx="26">
                  <c:v>179822561.70586663</c:v>
                </c:pt>
                <c:pt idx="27">
                  <c:v>179822561.70586663</c:v>
                </c:pt>
                <c:pt idx="28">
                  <c:v>179822561.70586663</c:v>
                </c:pt>
                <c:pt idx="29">
                  <c:v>179822561.70586663</c:v>
                </c:pt>
                <c:pt idx="30">
                  <c:v>179822561.70586663</c:v>
                </c:pt>
                <c:pt idx="31">
                  <c:v>179822561.70586663</c:v>
                </c:pt>
                <c:pt idx="32">
                  <c:v>179822561.70586663</c:v>
                </c:pt>
                <c:pt idx="33">
                  <c:v>179822561.70586663</c:v>
                </c:pt>
                <c:pt idx="34">
                  <c:v>179822561.70586663</c:v>
                </c:pt>
                <c:pt idx="35">
                  <c:v>179822561.70586663</c:v>
                </c:pt>
                <c:pt idx="36">
                  <c:v>179822561.70586663</c:v>
                </c:pt>
              </c:numCache>
            </c:numRef>
          </c:val>
          <c:smooth val="1"/>
          <c:extLst>
            <c:ext xmlns:c16="http://schemas.microsoft.com/office/drawing/2014/chart" uri="{C3380CC4-5D6E-409C-BE32-E72D297353CC}">
              <c16:uniqueId val="{00000001-7E13-4BAF-9969-C30A1ED3271B}"/>
            </c:ext>
          </c:extLst>
        </c:ser>
        <c:dLbls>
          <c:showLegendKey val="0"/>
          <c:showVal val="0"/>
          <c:showCatName val="0"/>
          <c:showSerName val="0"/>
          <c:showPercent val="0"/>
          <c:showBubbleSize val="0"/>
        </c:dLbls>
        <c:hiLowLines>
          <c:spPr>
            <a:ln w="0">
              <a:noFill/>
            </a:ln>
          </c:spPr>
        </c:hiLowLines>
        <c:smooth val="0"/>
        <c:axId val="79532473"/>
        <c:axId val="17975918"/>
      </c:lineChart>
      <c:catAx>
        <c:axId val="79532473"/>
        <c:scaling>
          <c:orientation val="minMax"/>
        </c:scaling>
        <c:delete val="0"/>
        <c:axPos val="b"/>
        <c:title>
          <c:tx>
            <c:rich>
              <a:bodyPr rot="0"/>
              <a:lstStyle/>
              <a:p>
                <a:pPr>
                  <a:defRPr sz="1300" b="0" u="none" strike="noStrike">
                    <a:uFillTx/>
                    <a:latin typeface="Arial"/>
                  </a:defRPr>
                </a:pPr>
                <a:r>
                  <a:rPr lang="en-US" sz="1000" b="1" u="none" strike="noStrike">
                    <a:solidFill>
                      <a:srgbClr val="000000"/>
                    </a:solidFill>
                    <a:uFillTx/>
                    <a:latin typeface="Calibri"/>
                  </a:rPr>
                  <a:t>Month</a:t>
                </a:r>
              </a:p>
            </c:rich>
          </c:tx>
          <c:overlay val="0"/>
          <c:spPr>
            <a:noFill/>
            <a:ln w="0">
              <a:noFill/>
            </a:ln>
          </c:spPr>
        </c:title>
        <c:numFmt formatCode="General" sourceLinked="1"/>
        <c:majorTickMark val="none"/>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KE"/>
          </a:p>
        </c:txPr>
        <c:crossAx val="17975918"/>
        <c:crosses val="autoZero"/>
        <c:auto val="1"/>
        <c:lblAlgn val="ctr"/>
        <c:lblOffset val="100"/>
        <c:noMultiLvlLbl val="0"/>
      </c:catAx>
      <c:valAx>
        <c:axId val="17975918"/>
        <c:scaling>
          <c:orientation val="minMax"/>
        </c:scaling>
        <c:delete val="0"/>
        <c:axPos val="l"/>
        <c:majorGridlines>
          <c:spPr>
            <a:ln w="9360">
              <a:solidFill>
                <a:srgbClr val="878787"/>
              </a:solidFill>
              <a:round/>
            </a:ln>
          </c:spPr>
        </c:majorGridlines>
        <c:title>
          <c:tx>
            <c:rich>
              <a:bodyPr rot="-5400000"/>
              <a:lstStyle/>
              <a:p>
                <a:pPr>
                  <a:defRPr sz="1300" b="0" u="none" strike="noStrike">
                    <a:uFillTx/>
                    <a:latin typeface="Arial"/>
                  </a:defRPr>
                </a:pPr>
                <a:r>
                  <a:rPr lang="en-US" sz="1000" b="1" u="none" strike="noStrike">
                    <a:solidFill>
                      <a:srgbClr val="000000"/>
                    </a:solidFill>
                    <a:uFillTx/>
                    <a:latin typeface="Calibri"/>
                  </a:rPr>
                  <a:t>KES</a:t>
                </a:r>
              </a:p>
            </c:rich>
          </c:tx>
          <c:overlay val="0"/>
          <c:spPr>
            <a:noFill/>
            <a:ln w="0">
              <a:noFill/>
            </a:ln>
          </c:spPr>
        </c:title>
        <c:numFmt formatCode="&quot;KES &quot;#,##0;&quot;(KES &quot;#,##0\);\-" sourceLinked="1"/>
        <c:majorTickMark val="none"/>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KE"/>
          </a:p>
        </c:txPr>
        <c:crossAx val="79532473"/>
        <c:crosses val="autoZero"/>
        <c:crossBetween val="between"/>
      </c:valAx>
      <c:spPr>
        <a:solidFill>
          <a:srgbClr val="F3F0E8"/>
        </a:solidFill>
        <a:ln w="0">
          <a:noFill/>
        </a:ln>
      </c:spPr>
    </c:plotArea>
    <c:legend>
      <c:legendPos val="r"/>
      <c:overlay val="0"/>
      <c:spPr>
        <a:noFill/>
        <a:ln w="0">
          <a:noFill/>
        </a:ln>
      </c:spPr>
      <c:txPr>
        <a:bodyPr/>
        <a:lstStyle/>
        <a:p>
          <a:pPr>
            <a:defRPr sz="900" b="0" u="none" strike="noStrike">
              <a:solidFill>
                <a:srgbClr val="000000"/>
              </a:solidFill>
              <a:uFillTx/>
              <a:latin typeface="Arial"/>
              <a:ea typeface="Arial"/>
              <a:cs typeface="Arial"/>
            </a:defRPr>
          </a:pPr>
          <a:endParaRPr lang="en-KE"/>
        </a:p>
      </c:txPr>
    </c:legend>
    <c:plotVisOnly val="1"/>
    <c:dispBlanksAs val="gap"/>
    <c:showDLblsOverMax val="1"/>
  </c:chart>
  <c:spPr>
    <a:solidFill>
      <a:srgbClr val="F3F0E8"/>
    </a:solidFill>
    <a:ln w="9360">
      <a:solidFill>
        <a:srgbClr val="D4D0C5"/>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title>
      <c:tx>
        <c:rich>
          <a:bodyPr rot="0"/>
          <a:lstStyle/>
          <a:p>
            <a:pPr>
              <a:defRPr sz="1300" b="0" u="none" strike="noStrike">
                <a:solidFill>
                  <a:srgbClr val="20211F"/>
                </a:solidFill>
                <a:uFillTx/>
                <a:latin typeface="Georgia" panose="02040502050405020303" pitchFamily="18" charset="0"/>
              </a:defRPr>
            </a:pPr>
            <a:r>
              <a:rPr lang="en-US" sz="1800" b="1" u="none" strike="noStrike">
                <a:solidFill>
                  <a:srgbClr val="20211F"/>
                </a:solidFill>
                <a:uFillTx/>
                <a:latin typeface="Georgia" panose="02040502050405020303" pitchFamily="18" charset="0"/>
              </a:rPr>
              <a:t>Uses of funds</a:t>
            </a:r>
          </a:p>
        </c:rich>
      </c:tx>
      <c:overlay val="0"/>
      <c:spPr>
        <a:noFill/>
        <a:ln w="0">
          <a:noFill/>
        </a:ln>
      </c:spPr>
    </c:title>
    <c:autoTitleDeleted val="0"/>
    <c:plotArea>
      <c:layout/>
      <c:barChart>
        <c:barDir val="bar"/>
        <c:grouping val="clustered"/>
        <c:varyColors val="0"/>
        <c:ser>
          <c:idx val="0"/>
          <c:order val="0"/>
          <c:spPr>
            <a:solidFill>
              <a:srgbClr val="A34A32"/>
            </a:solidFill>
            <a:ln w="12600">
              <a:noFill/>
            </a:ln>
          </c:spPr>
          <c:invertIfNegative val="0"/>
          <c:dLbls>
            <c:spPr>
              <a:noFill/>
              <a:ln>
                <a:noFill/>
              </a:ln>
              <a:effectLst/>
            </c:spPr>
            <c:txPr>
              <a:bodyPr wrap="none"/>
              <a:lstStyle/>
              <a:p>
                <a:pPr>
                  <a:defRPr sz="1000" b="0" u="none" strike="noStrike">
                    <a:uFillTx/>
                    <a:latin typeface="Arial"/>
                  </a:defRPr>
                </a:pPr>
                <a:endParaRPr lang="en-K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'Returns &amp; Waterfall'!$E$4:$E$11</c:f>
              <c:strCache>
                <c:ptCount val="8"/>
                <c:pt idx="0">
                  <c:v>Land + acquisition</c:v>
                </c:pt>
                <c:pt idx="1">
                  <c:v>Construction</c:v>
                </c:pt>
                <c:pt idx="2">
                  <c:v>Professional fees</c:v>
                </c:pt>
                <c:pt idx="3">
                  <c:v>Contingency</c:v>
                </c:pt>
                <c:pt idx="4">
                  <c:v>Statutory</c:v>
                </c:pt>
                <c:pt idx="5">
                  <c:v>Marketing &amp; sales</c:v>
                </c:pt>
                <c:pt idx="6">
                  <c:v>Interest</c:v>
                </c:pt>
                <c:pt idx="7">
                  <c:v>Arrangement fee</c:v>
                </c:pt>
              </c:strCache>
            </c:strRef>
          </c:cat>
          <c:val>
            <c:numRef>
              <c:f>'Returns &amp; Waterfall'!$F$4:$F$11</c:f>
              <c:numCache>
                <c:formatCode>"KES "#,##0;"(KES "#,##0\);\-</c:formatCode>
                <c:ptCount val="8"/>
                <c:pt idx="0">
                  <c:v>127200000</c:v>
                </c:pt>
                <c:pt idx="1">
                  <c:v>600440000</c:v>
                </c:pt>
                <c:pt idx="2">
                  <c:v>60044000</c:v>
                </c:pt>
                <c:pt idx="3">
                  <c:v>46233880.000000007</c:v>
                </c:pt>
                <c:pt idx="4">
                  <c:v>9000000</c:v>
                </c:pt>
                <c:pt idx="5">
                  <c:v>61562992.922012262</c:v>
                </c:pt>
                <c:pt idx="6">
                  <c:v>6728111.150364616</c:v>
                </c:pt>
                <c:pt idx="7">
                  <c:v>1923701.314555191</c:v>
                </c:pt>
              </c:numCache>
            </c:numRef>
          </c:val>
          <c:extLst>
            <c:ext xmlns:c16="http://schemas.microsoft.com/office/drawing/2014/chart" uri="{C3380CC4-5D6E-409C-BE32-E72D297353CC}">
              <c16:uniqueId val="{00000000-36A0-489A-8691-3D679ADA22AE}"/>
            </c:ext>
          </c:extLst>
        </c:ser>
        <c:dLbls>
          <c:showLegendKey val="0"/>
          <c:showVal val="0"/>
          <c:showCatName val="0"/>
          <c:showSerName val="0"/>
          <c:showPercent val="0"/>
          <c:showBubbleSize val="0"/>
        </c:dLbls>
        <c:gapWidth val="150"/>
        <c:axId val="14617400"/>
        <c:axId val="40195833"/>
      </c:barChart>
      <c:catAx>
        <c:axId val="14617400"/>
        <c:scaling>
          <c:orientation val="minMax"/>
        </c:scaling>
        <c:delete val="0"/>
        <c:axPos val="l"/>
        <c:numFmt formatCode="General" sourceLinked="1"/>
        <c:majorTickMark val="none"/>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KE"/>
          </a:p>
        </c:txPr>
        <c:crossAx val="40195833"/>
        <c:crosses val="autoZero"/>
        <c:auto val="1"/>
        <c:lblAlgn val="ctr"/>
        <c:lblOffset val="100"/>
        <c:noMultiLvlLbl val="0"/>
      </c:catAx>
      <c:valAx>
        <c:axId val="40195833"/>
        <c:scaling>
          <c:orientation val="minMax"/>
        </c:scaling>
        <c:delete val="0"/>
        <c:axPos val="b"/>
        <c:majorGridlines>
          <c:spPr>
            <a:ln w="9360">
              <a:solidFill>
                <a:srgbClr val="878787"/>
              </a:solidFill>
              <a:round/>
            </a:ln>
          </c:spPr>
        </c:majorGridlines>
        <c:numFmt formatCode="&quot;KES &quot;#,##0;&quot;(KES &quot;#,##0\);\-" sourceLinked="1"/>
        <c:majorTickMark val="none"/>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KE"/>
          </a:p>
        </c:txPr>
        <c:crossAx val="14617400"/>
        <c:crosses val="autoZero"/>
        <c:crossBetween val="between"/>
      </c:valAx>
      <c:spPr>
        <a:solidFill>
          <a:srgbClr val="F3F0E8"/>
        </a:solidFill>
        <a:ln w="0">
          <a:noFill/>
        </a:ln>
      </c:spPr>
    </c:plotArea>
    <c:plotVisOnly val="1"/>
    <c:dispBlanksAs val="gap"/>
    <c:showDLblsOverMax val="1"/>
  </c:chart>
  <c:spPr>
    <a:solidFill>
      <a:srgbClr val="F3F0E8"/>
    </a:solidFill>
    <a:ln w="9360">
      <a:solidFill>
        <a:srgbClr val="D4D0C5"/>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609600</xdr:colOff>
      <xdr:row>35</xdr:row>
      <xdr:rowOff>123190</xdr:rowOff>
    </xdr:from>
    <xdr:to>
      <xdr:col>3</xdr:col>
      <xdr:colOff>1076960</xdr:colOff>
      <xdr:row>54</xdr:row>
      <xdr:rowOff>12700</xdr:rowOff>
    </xdr:to>
    <xdr:graphicFrame macro="">
      <xdr:nvGraphicFramePr>
        <xdr:cNvPr id="2" name="Chart 1">
          <a:extLst>
            <a:ext uri="{FF2B5EF4-FFF2-40B4-BE49-F238E27FC236}">
              <a16:creationId xmlns:a16="http://schemas.microsoft.com/office/drawing/2014/main" id="{5AAF56B9-34E6-4014-9275-91EA3419D3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66040</xdr:colOff>
      <xdr:row>35</xdr:row>
      <xdr:rowOff>123190</xdr:rowOff>
    </xdr:from>
    <xdr:to>
      <xdr:col>9</xdr:col>
      <xdr:colOff>121920</xdr:colOff>
      <xdr:row>54</xdr:row>
      <xdr:rowOff>12700</xdr:rowOff>
    </xdr:to>
    <xdr:graphicFrame macro="">
      <xdr:nvGraphicFramePr>
        <xdr:cNvPr id="3" name="Chart 2">
          <a:extLst>
            <a:ext uri="{FF2B5EF4-FFF2-40B4-BE49-F238E27FC236}">
              <a16:creationId xmlns:a16="http://schemas.microsoft.com/office/drawing/2014/main" id="{35FB5A84-6B8C-43C9-B8C2-8C7E14EBB3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42</xdr:row>
      <xdr:rowOff>0</xdr:rowOff>
    </xdr:from>
    <xdr:to>
      <xdr:col>6</xdr:col>
      <xdr:colOff>525330</xdr:colOff>
      <xdr:row>56</xdr:row>
      <xdr:rowOff>32760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13</xdr:row>
      <xdr:rowOff>0</xdr:rowOff>
    </xdr:from>
    <xdr:to>
      <xdr:col>6</xdr:col>
      <xdr:colOff>498210</xdr:colOff>
      <xdr:row>26</xdr:row>
      <xdr:rowOff>174720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84A2D"/>
    <pageSetUpPr fitToPage="1"/>
  </sheetPr>
  <dimension ref="A1:M53"/>
  <sheetViews>
    <sheetView showGridLines="0" zoomScale="90" zoomScaleNormal="90" workbookViewId="0">
      <selection activeCell="C32" sqref="C32:G32"/>
    </sheetView>
  </sheetViews>
  <sheetFormatPr defaultColWidth="8.68359375" defaultRowHeight="14.4"/>
  <cols>
    <col min="1" max="1" width="19.578125" customWidth="1"/>
    <col min="2" max="3" width="9.578125" customWidth="1"/>
    <col min="4" max="4" width="15.578125" customWidth="1"/>
    <col min="5" max="6" width="9.578125" customWidth="1"/>
    <col min="7" max="7" width="15.578125" customWidth="1"/>
    <col min="8" max="13" width="9.578125" customWidth="1"/>
  </cols>
  <sheetData>
    <row r="1" spans="1:13" ht="32.049999999999997" customHeight="1">
      <c r="A1" s="224" t="s">
        <v>0</v>
      </c>
      <c r="B1" s="224"/>
      <c r="C1" s="224"/>
      <c r="D1" s="224"/>
      <c r="E1" s="224"/>
      <c r="F1" s="224"/>
      <c r="G1" s="224"/>
      <c r="H1" s="224"/>
      <c r="I1" s="224"/>
      <c r="J1" s="224"/>
      <c r="K1" s="224"/>
      <c r="L1" s="224"/>
      <c r="M1" s="224"/>
    </row>
    <row r="2" spans="1:13" ht="31" customHeight="1">
      <c r="A2" s="225" t="s">
        <v>1</v>
      </c>
      <c r="B2" s="225"/>
      <c r="C2" s="225"/>
      <c r="D2" s="225"/>
      <c r="E2" s="225"/>
      <c r="F2" s="225"/>
      <c r="G2" s="225"/>
      <c r="H2" s="225"/>
      <c r="I2" s="225"/>
      <c r="J2" s="225"/>
      <c r="K2" s="225"/>
      <c r="L2" s="225"/>
      <c r="M2" s="225"/>
    </row>
    <row r="3" spans="1:13" ht="21" customHeight="1">
      <c r="A3" s="226" t="s">
        <v>2</v>
      </c>
      <c r="B3" s="226"/>
      <c r="C3" s="226"/>
      <c r="D3" s="226"/>
      <c r="E3" s="226"/>
      <c r="F3" s="226"/>
      <c r="G3" s="226"/>
      <c r="H3" s="226"/>
      <c r="I3" s="226"/>
      <c r="J3" s="227" t="str">
        <f>"Scenario:  "&amp;Assumptions!B3</f>
        <v>Scenario:  Base</v>
      </c>
      <c r="K3" s="227"/>
      <c r="L3" s="227"/>
      <c r="M3" s="227"/>
    </row>
    <row r="4" spans="1:13">
      <c r="A4" s="1"/>
      <c r="B4" s="1"/>
      <c r="C4" s="1"/>
      <c r="D4" s="1"/>
      <c r="E4" s="1"/>
      <c r="F4" s="1"/>
      <c r="G4" s="1"/>
      <c r="H4" s="1"/>
      <c r="I4" s="1"/>
      <c r="J4" s="1"/>
      <c r="K4" s="1"/>
      <c r="L4" s="1"/>
      <c r="M4" s="1"/>
    </row>
    <row r="5" spans="1:13" ht="15" customHeight="1">
      <c r="A5" s="209" t="s">
        <v>3</v>
      </c>
      <c r="B5" s="210"/>
      <c r="C5" s="211"/>
      <c r="D5" s="212" t="s">
        <v>4</v>
      </c>
      <c r="E5" s="210"/>
      <c r="F5" s="211"/>
      <c r="G5" s="212" t="s">
        <v>5</v>
      </c>
      <c r="H5" s="210"/>
      <c r="I5" s="213"/>
      <c r="J5" s="214" t="s">
        <v>6</v>
      </c>
      <c r="K5" s="215"/>
      <c r="L5" s="215"/>
      <c r="M5" s="1"/>
    </row>
    <row r="6" spans="1:13" ht="18" customHeight="1">
      <c r="A6" s="216">
        <f>'Returns &amp; Waterfall'!B11</f>
        <v>0.18896698079058652</v>
      </c>
      <c r="B6" s="217"/>
      <c r="C6" s="218"/>
      <c r="D6" s="216">
        <f>'Returns &amp; Waterfall'!B22</f>
        <v>0.51220126031557789</v>
      </c>
      <c r="E6" s="217"/>
      <c r="F6" s="218"/>
      <c r="G6" s="258">
        <f>'Returns &amp; Waterfall'!B18</f>
        <v>1.4471939764397486</v>
      </c>
      <c r="H6" s="259"/>
      <c r="I6" s="260"/>
      <c r="J6" s="261">
        <f>'Returns &amp; Waterfall'!B12</f>
        <v>0.15893374992208417</v>
      </c>
      <c r="K6" s="261"/>
      <c r="L6" s="262"/>
      <c r="M6" s="1"/>
    </row>
    <row r="7" spans="1:13" ht="18" customHeight="1">
      <c r="A7" s="219"/>
      <c r="B7" s="217"/>
      <c r="C7" s="218"/>
      <c r="D7" s="219"/>
      <c r="E7" s="217"/>
      <c r="F7" s="218"/>
      <c r="G7" s="258"/>
      <c r="H7" s="259"/>
      <c r="I7" s="260"/>
      <c r="J7" s="261"/>
      <c r="K7" s="261"/>
      <c r="L7" s="262"/>
      <c r="M7" s="1"/>
    </row>
    <row r="8" spans="1:13" ht="13.5" customHeight="1">
      <c r="A8" s="202" t="s">
        <v>7</v>
      </c>
      <c r="B8" s="203"/>
      <c r="C8" s="204"/>
      <c r="D8" s="205" t="s">
        <v>8</v>
      </c>
      <c r="E8" s="203"/>
      <c r="F8" s="204"/>
      <c r="G8" s="205" t="s">
        <v>9</v>
      </c>
      <c r="H8" s="203"/>
      <c r="I8" s="206"/>
      <c r="J8" s="207" t="s">
        <v>10</v>
      </c>
      <c r="K8" s="208"/>
      <c r="L8" s="208"/>
      <c r="M8" s="1"/>
    </row>
    <row r="9" spans="1:13">
      <c r="A9" s="1"/>
      <c r="B9" s="1"/>
      <c r="C9" s="1"/>
      <c r="D9" s="1"/>
      <c r="E9" s="1"/>
      <c r="F9" s="1"/>
      <c r="G9" s="1"/>
      <c r="H9" s="1"/>
      <c r="I9" s="1"/>
      <c r="J9" s="1"/>
      <c r="K9" s="1"/>
      <c r="L9" s="1"/>
      <c r="M9" s="1"/>
    </row>
    <row r="10" spans="1:13" ht="15" customHeight="1">
      <c r="A10" s="209" t="s">
        <v>11</v>
      </c>
      <c r="B10" s="210"/>
      <c r="C10" s="211"/>
      <c r="D10" s="212" t="s">
        <v>12</v>
      </c>
      <c r="E10" s="210"/>
      <c r="F10" s="211"/>
      <c r="G10" s="212" t="s">
        <v>13</v>
      </c>
      <c r="H10" s="210"/>
      <c r="I10" s="213"/>
      <c r="J10" s="214" t="s">
        <v>14</v>
      </c>
      <c r="K10" s="215"/>
      <c r="L10" s="215"/>
      <c r="M10" s="1"/>
    </row>
    <row r="11" spans="1:13" ht="18" customHeight="1">
      <c r="A11" s="220">
        <f>'Returns &amp; Waterfall'!B4</f>
        <v>1119327144.0365865</v>
      </c>
      <c r="B11" s="221"/>
      <c r="C11" s="222"/>
      <c r="D11" s="220">
        <f>'Returns &amp; Waterfall'!B9</f>
        <v>941428283.645275</v>
      </c>
      <c r="E11" s="263"/>
      <c r="F11" s="264"/>
      <c r="G11" s="220">
        <f>'Returns &amp; Waterfall'!B10</f>
        <v>177898860.39131153</v>
      </c>
      <c r="H11" s="263"/>
      <c r="I11" s="265"/>
      <c r="J11" s="266">
        <f>'Returns &amp; Waterfall'!B15</f>
        <v>277444576.59878397</v>
      </c>
      <c r="K11" s="267"/>
      <c r="L11" s="267"/>
      <c r="M11" s="1"/>
    </row>
    <row r="12" spans="1:13" ht="18" customHeight="1">
      <c r="A12" s="223"/>
      <c r="B12" s="221"/>
      <c r="C12" s="222"/>
      <c r="D12" s="220"/>
      <c r="E12" s="263"/>
      <c r="F12" s="264"/>
      <c r="G12" s="220"/>
      <c r="H12" s="263"/>
      <c r="I12" s="265"/>
      <c r="J12" s="266"/>
      <c r="K12" s="267"/>
      <c r="L12" s="267"/>
      <c r="M12" s="1"/>
    </row>
    <row r="13" spans="1:13" ht="13.5" customHeight="1">
      <c r="A13" s="202" t="s">
        <v>15</v>
      </c>
      <c r="B13" s="203"/>
      <c r="C13" s="204"/>
      <c r="D13" s="205" t="s">
        <v>16</v>
      </c>
      <c r="E13" s="203"/>
      <c r="F13" s="204"/>
      <c r="G13" s="205" t="s">
        <v>17</v>
      </c>
      <c r="H13" s="203"/>
      <c r="I13" s="206"/>
      <c r="J13" s="207" t="s">
        <v>18</v>
      </c>
      <c r="K13" s="208"/>
      <c r="L13" s="208"/>
      <c r="M13" s="1"/>
    </row>
    <row r="14" spans="1:13">
      <c r="A14" s="1"/>
      <c r="B14" s="1"/>
      <c r="C14" s="1"/>
      <c r="D14" s="1"/>
      <c r="E14" s="1"/>
      <c r="F14" s="1"/>
      <c r="G14" s="1"/>
      <c r="H14" s="1"/>
      <c r="I14" s="1"/>
      <c r="J14" s="1"/>
      <c r="K14" s="1"/>
      <c r="L14" s="1"/>
      <c r="M14" s="1"/>
    </row>
    <row r="15" spans="1:13" ht="15" customHeight="1">
      <c r="A15" s="209" t="s">
        <v>19</v>
      </c>
      <c r="B15" s="210"/>
      <c r="C15" s="211"/>
      <c r="D15" s="212" t="s">
        <v>20</v>
      </c>
      <c r="E15" s="210"/>
      <c r="F15" s="211"/>
      <c r="G15" s="212" t="s">
        <v>21</v>
      </c>
      <c r="H15" s="210"/>
      <c r="I15" s="213"/>
      <c r="J15" s="214" t="s">
        <v>22</v>
      </c>
      <c r="K15" s="215"/>
      <c r="L15" s="215"/>
      <c r="M15" s="1"/>
    </row>
    <row r="16" spans="1:13" ht="18" customHeight="1">
      <c r="A16" s="216">
        <f>'Returns &amp; Waterfall'!B47</f>
        <v>0.13227688655341058</v>
      </c>
      <c r="B16" s="217"/>
      <c r="C16" s="218"/>
      <c r="D16" s="216">
        <f>'Returns &amp; Waterfall'!B50</f>
        <v>0.37349016093448806</v>
      </c>
      <c r="E16" s="268"/>
      <c r="F16" s="269"/>
      <c r="G16" s="216">
        <f>'Lender &amp; Risk'!B21</f>
        <v>0.16384922672379809</v>
      </c>
      <c r="H16" s="268"/>
      <c r="I16" s="270"/>
      <c r="J16" s="271">
        <f>'Returns &amp; Waterfall'!B62</f>
        <v>5.5087640026269875E-2</v>
      </c>
      <c r="K16" s="272"/>
      <c r="L16" s="272"/>
      <c r="M16" s="1"/>
    </row>
    <row r="17" spans="1:13" ht="18" customHeight="1">
      <c r="A17" s="219"/>
      <c r="B17" s="217"/>
      <c r="C17" s="218"/>
      <c r="D17" s="216"/>
      <c r="E17" s="268"/>
      <c r="F17" s="269"/>
      <c r="G17" s="216"/>
      <c r="H17" s="268"/>
      <c r="I17" s="270"/>
      <c r="J17" s="271"/>
      <c r="K17" s="272"/>
      <c r="L17" s="272"/>
      <c r="M17" s="1"/>
    </row>
    <row r="18" spans="1:13" ht="13.5" customHeight="1">
      <c r="A18" s="202" t="s">
        <v>23</v>
      </c>
      <c r="B18" s="203"/>
      <c r="C18" s="204"/>
      <c r="D18" s="205" t="s">
        <v>24</v>
      </c>
      <c r="E18" s="203"/>
      <c r="F18" s="204"/>
      <c r="G18" s="205" t="s">
        <v>25</v>
      </c>
      <c r="H18" s="203"/>
      <c r="I18" s="206"/>
      <c r="J18" s="207" t="s">
        <v>26</v>
      </c>
      <c r="K18" s="208"/>
      <c r="L18" s="208"/>
      <c r="M18" s="1"/>
    </row>
    <row r="19" spans="1:13">
      <c r="A19" s="1"/>
      <c r="B19" s="1"/>
      <c r="C19" s="1"/>
      <c r="D19" s="1"/>
      <c r="E19" s="1"/>
      <c r="F19" s="1"/>
      <c r="G19" s="1"/>
      <c r="H19" s="1"/>
      <c r="I19" s="1"/>
      <c r="J19" s="1"/>
      <c r="K19" s="1"/>
      <c r="L19" s="1"/>
      <c r="M19" s="1"/>
    </row>
    <row r="20" spans="1:13" ht="23.05" customHeight="1">
      <c r="A20" s="201" t="s">
        <v>27</v>
      </c>
      <c r="B20" s="201"/>
      <c r="C20" s="201"/>
      <c r="D20" s="201"/>
      <c r="E20" s="201"/>
      <c r="F20" s="201"/>
      <c r="G20" s="201"/>
      <c r="H20" s="201"/>
      <c r="I20" s="201"/>
      <c r="J20" s="201"/>
      <c r="K20" s="201"/>
      <c r="L20" s="201"/>
      <c r="M20" s="201"/>
    </row>
    <row r="21" spans="1:13" ht="15.75" customHeight="1">
      <c r="A21" s="195" t="s">
        <v>28</v>
      </c>
      <c r="B21" s="195"/>
      <c r="C21" s="195"/>
      <c r="D21" s="196">
        <f>'Returns &amp; Waterfall'!B15</f>
        <v>277444576.59878397</v>
      </c>
      <c r="E21" s="196"/>
      <c r="F21" s="196"/>
      <c r="G21" s="197" t="str">
        <f>REPT("â–ˆ",ROUND(('Returns &amp; Waterfall'!B15)/(MAX('Returns &amp; Waterfall'!$B$15,'Returns &amp; Waterfall'!$B$7))*30,0))</f>
        <v>â–ˆâ–ˆâ–ˆâ–ˆâ–ˆâ–ˆâ–ˆâ–ˆâ–ˆâ–ˆâ–ˆâ–ˆâ–ˆâ–ˆâ–ˆâ–ˆâ–ˆâ–ˆâ–ˆâ–ˆâ–ˆâ–ˆâ–ˆâ–ˆâ–ˆâ–ˆâ–ˆâ–ˆâ–ˆâ–ˆ</v>
      </c>
      <c r="H21" s="197"/>
      <c r="I21" s="197"/>
      <c r="J21" s="197"/>
      <c r="K21" s="197"/>
      <c r="L21" s="197"/>
      <c r="M21" s="197"/>
    </row>
    <row r="22" spans="1:13" ht="15.75" customHeight="1">
      <c r="A22" s="195" t="s">
        <v>29</v>
      </c>
      <c r="B22" s="195"/>
      <c r="C22" s="195"/>
      <c r="D22" s="196">
        <f>'Returns &amp; Waterfall'!B7</f>
        <v>128246754.30367941</v>
      </c>
      <c r="E22" s="196"/>
      <c r="F22" s="196"/>
      <c r="G22" s="197" t="str">
        <f>REPT("â–ˆ",ROUND(('Returns &amp; Waterfall'!B7)/(MAX('Returns &amp; Waterfall'!$B$15,'Returns &amp; Waterfall'!$B$7))*30,0))</f>
        <v>â–ˆâ–ˆâ–ˆâ–ˆâ–ˆâ–ˆâ–ˆâ–ˆâ–ˆâ–ˆâ–ˆâ–ˆâ–ˆâ–ˆ</v>
      </c>
      <c r="H22" s="197"/>
      <c r="I22" s="197"/>
      <c r="J22" s="197"/>
      <c r="K22" s="197"/>
      <c r="L22" s="197"/>
      <c r="M22" s="197"/>
    </row>
    <row r="23" spans="1:13">
      <c r="A23" s="29" t="s">
        <v>30</v>
      </c>
      <c r="B23" s="30"/>
      <c r="C23" s="30"/>
      <c r="D23" s="30"/>
      <c r="E23" s="30"/>
      <c r="F23" s="30"/>
      <c r="G23" s="30"/>
      <c r="H23" s="30"/>
      <c r="I23" s="30"/>
      <c r="J23" s="30"/>
      <c r="K23" s="30"/>
      <c r="L23" s="30"/>
      <c r="M23" s="30"/>
    </row>
    <row r="24" spans="1:13">
      <c r="A24" s="1"/>
      <c r="B24" s="1"/>
      <c r="C24" s="1"/>
      <c r="D24" s="1"/>
      <c r="E24" s="1"/>
      <c r="F24" s="1"/>
      <c r="G24" s="1"/>
      <c r="H24" s="1"/>
      <c r="I24" s="1"/>
      <c r="J24" s="1"/>
      <c r="K24" s="1"/>
      <c r="L24" s="1"/>
      <c r="M24" s="1"/>
    </row>
    <row r="25" spans="1:13" ht="23.05" customHeight="1">
      <c r="A25" s="201" t="s">
        <v>31</v>
      </c>
      <c r="B25" s="201"/>
      <c r="C25" s="201"/>
      <c r="D25" s="201"/>
      <c r="E25" s="201"/>
      <c r="F25" s="201"/>
      <c r="G25" s="201"/>
      <c r="H25" s="201"/>
      <c r="I25" s="201"/>
      <c r="J25" s="201"/>
      <c r="K25" s="201"/>
      <c r="L25" s="201"/>
      <c r="M25" s="201"/>
    </row>
    <row r="26" spans="1:13">
      <c r="A26" s="3" t="s">
        <v>32</v>
      </c>
      <c r="B26" s="4" t="s">
        <v>33</v>
      </c>
      <c r="C26" s="1"/>
      <c r="D26" s="1"/>
      <c r="E26" s="1"/>
      <c r="F26" s="1"/>
      <c r="G26" s="1"/>
      <c r="H26" s="4" t="s">
        <v>34</v>
      </c>
      <c r="I26" s="1"/>
      <c r="J26" s="1"/>
      <c r="K26" s="1"/>
      <c r="L26" s="1"/>
      <c r="M26" s="1"/>
    </row>
    <row r="27" spans="1:13" ht="13.5" customHeight="1">
      <c r="A27" s="1" t="s">
        <v>35</v>
      </c>
      <c r="B27" s="5">
        <f>INDEX(Cashflow!$Q$4:$Q$40,MATCH(0,Cashflow!$A$4:$A$40,0))/1000000</f>
        <v>0</v>
      </c>
      <c r="C27" s="195" t="str">
        <f>REPT("â–ˆ",ROUND(INDEX(Cashflow!$Q$4:$Q$40,MATCH(0,Cashflow!$A$4:$A$40,0))/MAX('Returns &amp; Waterfall'!$B$7,'Returns &amp; Waterfall'!$B$15)*16,0))</f>
        <v/>
      </c>
      <c r="D27" s="195"/>
      <c r="E27" s="195"/>
      <c r="F27" s="195"/>
      <c r="G27" s="197"/>
      <c r="H27" s="31">
        <f>MAX(0,-INDEX(Cashflow!$S$4:$S$40,MATCH(0,Cashflow!$A$4:$A$40,0)))/1000000</f>
        <v>127.2</v>
      </c>
      <c r="I27" s="197" t="str">
        <f>REPT("â–ˆ",ROUND(MAX(0,-INDEX(Cashflow!$S$4:$S$40,MATCH(0,Cashflow!$A$4:$A$40,0)))/MAX('Returns &amp; Waterfall'!$B$7,'Returns &amp; Waterfall'!$B$15)*16,0))</f>
        <v>â–ˆâ–ˆâ–ˆâ–ˆâ–ˆâ–ˆâ–ˆ</v>
      </c>
      <c r="J27" s="197"/>
      <c r="K27" s="197"/>
      <c r="L27" s="197"/>
      <c r="M27" s="197"/>
    </row>
    <row r="28" spans="1:13" ht="13.5" customHeight="1">
      <c r="A28" s="1" t="s">
        <v>36</v>
      </c>
      <c r="B28" s="5">
        <f>INDEX(Cashflow!$Q$4:$Q$40,MATCH(3,Cashflow!$A$4:$A$40,0))/1000000</f>
        <v>0</v>
      </c>
      <c r="C28" s="195" t="str">
        <f>REPT("â–ˆ",ROUND(INDEX(Cashflow!$Q$4:$Q$40,MATCH(3,Cashflow!$A$4:$A$40,0))/MAX('Returns &amp; Waterfall'!$B$7,'Returns &amp; Waterfall'!$B$15)*16,0))</f>
        <v/>
      </c>
      <c r="D28" s="195"/>
      <c r="E28" s="195"/>
      <c r="F28" s="195"/>
      <c r="G28" s="197"/>
      <c r="H28" s="31">
        <f>MAX(0,-INDEX(Cashflow!$S$4:$S$40,MATCH(3,Cashflow!$A$4:$A$40,0)))/1000000</f>
        <v>127.2</v>
      </c>
      <c r="I28" s="197" t="str">
        <f>REPT("â–ˆ",ROUND(MAX(0,-INDEX(Cashflow!$S$4:$S$40,MATCH(3,Cashflow!$A$4:$A$40,0)))/MAX('Returns &amp; Waterfall'!$B$7,'Returns &amp; Waterfall'!$B$15)*16,0))</f>
        <v>â–ˆâ–ˆâ–ˆâ–ˆâ–ˆâ–ˆâ–ˆ</v>
      </c>
      <c r="J28" s="197"/>
      <c r="K28" s="197"/>
      <c r="L28" s="197"/>
      <c r="M28" s="197"/>
    </row>
    <row r="29" spans="1:13" ht="13.5" customHeight="1">
      <c r="A29" s="1" t="s">
        <v>37</v>
      </c>
      <c r="B29" s="5">
        <f>INDEX(Cashflow!$Q$4:$Q$40,MATCH(6,Cashflow!$A$4:$A$40,0))/1000000</f>
        <v>0</v>
      </c>
      <c r="C29" s="195" t="str">
        <f>REPT("â–ˆ",ROUND(INDEX(Cashflow!$Q$4:$Q$40,MATCH(6,Cashflow!$A$4:$A$40,0))/MAX('Returns &amp; Waterfall'!$B$7,'Returns &amp; Waterfall'!$B$15)*16,0))</f>
        <v/>
      </c>
      <c r="D29" s="195"/>
      <c r="E29" s="195"/>
      <c r="F29" s="195"/>
      <c r="G29" s="197"/>
      <c r="H29" s="31">
        <f>MAX(0,-INDEX(Cashflow!$S$4:$S$40,MATCH(6,Cashflow!$A$4:$A$40,0)))/1000000</f>
        <v>188.3307143555428</v>
      </c>
      <c r="I29" s="197" t="str">
        <f>REPT("â–ˆ",ROUND(MAX(0,-INDEX(Cashflow!$S$4:$S$40,MATCH(6,Cashflow!$A$4:$A$40,0)))/MAX('Returns &amp; Waterfall'!$B$7,'Returns &amp; Waterfall'!$B$15)*16,0))</f>
        <v>â–ˆâ–ˆâ–ˆâ–ˆâ–ˆâ–ˆâ–ˆâ–ˆâ–ˆâ–ˆâ–ˆ</v>
      </c>
      <c r="J29" s="197"/>
      <c r="K29" s="197"/>
      <c r="L29" s="197"/>
      <c r="M29" s="197"/>
    </row>
    <row r="30" spans="1:13" ht="13.5" customHeight="1">
      <c r="A30" s="1" t="s">
        <v>38</v>
      </c>
      <c r="B30" s="5">
        <f>INDEX(Cashflow!$Q$4:$Q$40,MATCH(9,Cashflow!$A$4:$A$40,0))/1000000</f>
        <v>15.583779734610371</v>
      </c>
      <c r="C30" s="195" t="str">
        <f>REPT("â–ˆ",ROUND(INDEX(Cashflow!$Q$4:$Q$40,MATCH(9,Cashflow!$A$4:$A$40,0))/MAX('Returns &amp; Waterfall'!$B$7,'Returns &amp; Waterfall'!$B$15)*16,0))</f>
        <v>â–ˆ</v>
      </c>
      <c r="D30" s="195"/>
      <c r="E30" s="195"/>
      <c r="F30" s="195"/>
      <c r="G30" s="197"/>
      <c r="H30" s="31">
        <f>MAX(0,-INDEX(Cashflow!$S$4:$S$40,MATCH(9,Cashflow!$A$4:$A$40,0)))/1000000</f>
        <v>277.44457659878395</v>
      </c>
      <c r="I30" s="197" t="str">
        <f>REPT("â–ˆ",ROUND(MAX(0,-INDEX(Cashflow!$S$4:$S$40,MATCH(9,Cashflow!$A$4:$A$40,0)))/MAX('Returns &amp; Waterfall'!$B$7,'Returns &amp; Waterfall'!$B$15)*16,0))</f>
        <v>â–ˆâ–ˆâ–ˆâ–ˆâ–ˆâ–ˆâ–ˆâ–ˆâ–ˆâ–ˆâ–ˆâ–ˆâ–ˆâ–ˆâ–ˆâ–ˆ</v>
      </c>
      <c r="J30" s="197"/>
      <c r="K30" s="197"/>
      <c r="L30" s="197"/>
      <c r="M30" s="197"/>
    </row>
    <row r="31" spans="1:13" ht="13.5" customHeight="1">
      <c r="A31" s="1" t="s">
        <v>39</v>
      </c>
      <c r="B31" s="5">
        <f>INDEX(Cashflow!$Q$4:$Q$40,MATCH(12,Cashflow!$A$4:$A$40,0))/1000000</f>
        <v>0</v>
      </c>
      <c r="C31" s="195" t="str">
        <f>REPT("â–ˆ",ROUND(INDEX(Cashflow!$Q$4:$Q$40,MATCH(12,Cashflow!$A$4:$A$40,0))/MAX('Returns &amp; Waterfall'!$B$7,'Returns &amp; Waterfall'!$B$15)*16,0))</f>
        <v/>
      </c>
      <c r="D31" s="195"/>
      <c r="E31" s="195"/>
      <c r="F31" s="195"/>
      <c r="G31" s="197"/>
      <c r="H31" s="31">
        <f>MAX(0,-INDEX(Cashflow!$S$4:$S$40,MATCH(12,Cashflow!$A$4:$A$40,0)))/1000000</f>
        <v>124.55880914207563</v>
      </c>
      <c r="I31" s="197" t="str">
        <f>REPT("â–ˆ",ROUND(MAX(0,-INDEX(Cashflow!$S$4:$S$40,MATCH(12,Cashflow!$A$4:$A$40,0)))/MAX('Returns &amp; Waterfall'!$B$7,'Returns &amp; Waterfall'!$B$15)*16,0))</f>
        <v>â–ˆâ–ˆâ–ˆâ–ˆâ–ˆâ–ˆâ–ˆ</v>
      </c>
      <c r="J31" s="197"/>
      <c r="K31" s="197"/>
      <c r="L31" s="197"/>
      <c r="M31" s="197"/>
    </row>
    <row r="32" spans="1:13" ht="13.5" customHeight="1">
      <c r="A32" s="1" t="s">
        <v>40</v>
      </c>
      <c r="B32" s="5">
        <f>INDEX(Cashflow!$Q$4:$Q$40,MATCH(15,Cashflow!$A$4:$A$40,0))/1000000</f>
        <v>25.261106821954485</v>
      </c>
      <c r="C32" s="195" t="str">
        <f>REPT("â–ˆ",ROUND(INDEX(Cashflow!$Q$4:$Q$40,MATCH(15,Cashflow!$A$4:$A$40,0))/MAX('Returns &amp; Waterfall'!$B$7,'Returns &amp; Waterfall'!$B$15)*16,0))</f>
        <v>â–ˆ</v>
      </c>
      <c r="D32" s="195"/>
      <c r="E32" s="195"/>
      <c r="F32" s="195"/>
      <c r="G32" s="197"/>
      <c r="H32" s="31">
        <f>MAX(0,-INDEX(Cashflow!$S$4:$S$40,MATCH(15,Cashflow!$A$4:$A$40,0)))/1000000</f>
        <v>160.07178189086</v>
      </c>
      <c r="I32" s="197" t="str">
        <f>REPT("â–ˆ",ROUND(MAX(0,-INDEX(Cashflow!$S$4:$S$40,MATCH(15,Cashflow!$A$4:$A$40,0)))/MAX('Returns &amp; Waterfall'!$B$7,'Returns &amp; Waterfall'!$B$15)*16,0))</f>
        <v>â–ˆâ–ˆâ–ˆâ–ˆâ–ˆâ–ˆâ–ˆâ–ˆâ–ˆ</v>
      </c>
      <c r="J32" s="197"/>
      <c r="K32" s="197"/>
      <c r="L32" s="197"/>
      <c r="M32" s="197"/>
    </row>
    <row r="33" spans="1:13" ht="13.5" customHeight="1">
      <c r="A33" s="1" t="s">
        <v>41</v>
      </c>
      <c r="B33" s="5">
        <f>INDEX(Cashflow!$Q$4:$Q$40,MATCH(18,Cashflow!$A$4:$A$40,0))/1000000</f>
        <v>92.485936006377145</v>
      </c>
      <c r="C33" s="195" t="str">
        <f>REPT("â–ˆ",ROUND(INDEX(Cashflow!$Q$4:$Q$40,MATCH(18,Cashflow!$A$4:$A$40,0))/MAX('Returns &amp; Waterfall'!$B$7,'Returns &amp; Waterfall'!$B$15)*16,0))</f>
        <v>â–ˆâ–ˆâ–ˆâ–ˆâ–ˆ</v>
      </c>
      <c r="D33" s="195"/>
      <c r="E33" s="195"/>
      <c r="F33" s="195"/>
      <c r="G33" s="197"/>
      <c r="H33" s="31">
        <f>MAX(0,-INDEX(Cashflow!$S$4:$S$40,MATCH(18,Cashflow!$A$4:$A$40,0)))/1000000</f>
        <v>215.71155812330983</v>
      </c>
      <c r="I33" s="197" t="str">
        <f>REPT("â–ˆ",ROUND(MAX(0,-INDEX(Cashflow!$S$4:$S$40,MATCH(18,Cashflow!$A$4:$A$40,0)))/MAX('Returns &amp; Waterfall'!$B$7,'Returns &amp; Waterfall'!$B$15)*16,0))</f>
        <v>â–ˆâ–ˆâ–ˆâ–ˆâ–ˆâ–ˆâ–ˆâ–ˆâ–ˆâ–ˆâ–ˆâ–ˆ</v>
      </c>
      <c r="J33" s="197"/>
      <c r="K33" s="197"/>
      <c r="L33" s="197"/>
      <c r="M33" s="197"/>
    </row>
    <row r="34" spans="1:13" ht="13.5" customHeight="1">
      <c r="A34" s="1" t="s">
        <v>42</v>
      </c>
      <c r="B34" s="5">
        <f>INDEX(Cashflow!$Q$4:$Q$40,MATCH(21,Cashflow!$A$4:$A$40,0))/1000000</f>
        <v>0</v>
      </c>
      <c r="C34" s="195" t="str">
        <f>REPT("â–ˆ",ROUND(INDEX(Cashflow!$Q$4:$Q$40,MATCH(21,Cashflow!$A$4:$A$40,0))/MAX('Returns &amp; Waterfall'!$B$7,'Returns &amp; Waterfall'!$B$15)*16,0))</f>
        <v/>
      </c>
      <c r="D34" s="195"/>
      <c r="E34" s="195"/>
      <c r="F34" s="195"/>
      <c r="G34" s="197"/>
      <c r="H34" s="31">
        <f>MAX(0,-INDEX(Cashflow!$S$4:$S$40,MATCH(21,Cashflow!$A$4:$A$40,0)))/1000000</f>
        <v>0</v>
      </c>
      <c r="I34" s="197" t="str">
        <f>REPT("â–ˆ",ROUND(MAX(0,-INDEX(Cashflow!$S$4:$S$40,MATCH(21,Cashflow!$A$4:$A$40,0)))/MAX('Returns &amp; Waterfall'!$B$7,'Returns &amp; Waterfall'!$B$15)*16,0))</f>
        <v/>
      </c>
      <c r="J34" s="197"/>
      <c r="K34" s="197"/>
      <c r="L34" s="197"/>
      <c r="M34" s="197"/>
    </row>
    <row r="35" spans="1:13">
      <c r="A35" s="29" t="s">
        <v>43</v>
      </c>
      <c r="B35" s="30"/>
      <c r="C35" s="30"/>
      <c r="D35" s="30"/>
      <c r="E35" s="30"/>
      <c r="F35" s="30"/>
      <c r="G35" s="30"/>
      <c r="H35" s="30"/>
      <c r="I35" s="30"/>
      <c r="J35" s="30"/>
      <c r="K35" s="30"/>
      <c r="L35" s="30"/>
      <c r="M35" s="30"/>
    </row>
    <row r="36" spans="1:13">
      <c r="A36" s="1"/>
      <c r="B36" s="1"/>
      <c r="C36" s="1"/>
      <c r="D36" s="1"/>
      <c r="E36" s="1"/>
      <c r="F36" s="1"/>
      <c r="G36" s="1"/>
      <c r="H36" s="1"/>
      <c r="I36" s="1"/>
      <c r="J36" s="1"/>
      <c r="K36" s="1"/>
      <c r="L36" s="1"/>
      <c r="M36" s="1"/>
    </row>
    <row r="37" spans="1:13" ht="23.05" customHeight="1">
      <c r="A37" s="201" t="s">
        <v>44</v>
      </c>
      <c r="B37" s="201"/>
      <c r="C37" s="201"/>
      <c r="D37" s="201"/>
      <c r="E37" s="201"/>
      <c r="F37" s="201"/>
      <c r="G37" s="201"/>
      <c r="H37" s="201"/>
      <c r="I37" s="201"/>
      <c r="J37" s="201"/>
      <c r="K37" s="201"/>
      <c r="L37" s="201"/>
      <c r="M37" s="201"/>
    </row>
    <row r="38" spans="1:13" ht="15" customHeight="1">
      <c r="A38" s="200" t="s">
        <v>45</v>
      </c>
      <c r="B38" s="200"/>
      <c r="C38" s="200"/>
      <c r="D38" s="196">
        <f>'Returns &amp; Waterfall'!F4</f>
        <v>127200000</v>
      </c>
      <c r="E38" s="196"/>
      <c r="F38" s="6">
        <f>'Returns &amp; Waterfall'!F4/'Returns &amp; Waterfall'!$F$12</f>
        <v>0.13930067561440987</v>
      </c>
      <c r="G38" s="197" t="str">
        <f>REPT("â–ˆ",ROUND('Returns &amp; Waterfall'!F4/MAX('Returns &amp; Waterfall'!$F$4:$F$11)*30,0))</f>
        <v>â–ˆâ–ˆâ–ˆâ–ˆâ–ˆâ–ˆ</v>
      </c>
      <c r="H38" s="197"/>
      <c r="I38" s="197"/>
      <c r="J38" s="197"/>
      <c r="K38" s="197"/>
      <c r="L38" s="197"/>
      <c r="M38" s="197"/>
    </row>
    <row r="39" spans="1:13" ht="15" customHeight="1">
      <c r="A39" s="200" t="s">
        <v>46</v>
      </c>
      <c r="B39" s="200"/>
      <c r="C39" s="200"/>
      <c r="D39" s="196">
        <f>'Returns &amp; Waterfall'!F5</f>
        <v>600440000</v>
      </c>
      <c r="E39" s="196"/>
      <c r="F39" s="6">
        <f>'Returns &amp; Waterfall'!F5/'Returns &amp; Waterfall'!$F$12</f>
        <v>0.65756051624148004</v>
      </c>
      <c r="G39" s="197" t="str">
        <f>REPT("â–ˆ",ROUND('Returns &amp; Waterfall'!F5/MAX('Returns &amp; Waterfall'!$F$4:$F$11)*30,0))</f>
        <v>â–ˆâ–ˆâ–ˆâ–ˆâ–ˆâ–ˆâ–ˆâ–ˆâ–ˆâ–ˆâ–ˆâ–ˆâ–ˆâ–ˆâ–ˆâ–ˆâ–ˆâ–ˆâ–ˆâ–ˆâ–ˆâ–ˆâ–ˆâ–ˆâ–ˆâ–ˆâ–ˆâ–ˆâ–ˆâ–ˆ</v>
      </c>
      <c r="H39" s="197"/>
      <c r="I39" s="197"/>
      <c r="J39" s="197"/>
      <c r="K39" s="197"/>
      <c r="L39" s="197"/>
      <c r="M39" s="197"/>
    </row>
    <row r="40" spans="1:13" ht="15" customHeight="1">
      <c r="A40" s="200" t="s">
        <v>47</v>
      </c>
      <c r="B40" s="200"/>
      <c r="C40" s="200"/>
      <c r="D40" s="196">
        <f>'Returns &amp; Waterfall'!F6</f>
        <v>60044000</v>
      </c>
      <c r="E40" s="196"/>
      <c r="F40" s="6">
        <f>'Returns &amp; Waterfall'!F6/'Returns &amp; Waterfall'!$F$12</f>
        <v>6.5756051624148007E-2</v>
      </c>
      <c r="G40" s="197" t="str">
        <f>REPT("â–ˆ",ROUND('Returns &amp; Waterfall'!F6/MAX('Returns &amp; Waterfall'!$F$4:$F$11)*30,0))</f>
        <v>â–ˆâ–ˆâ–ˆ</v>
      </c>
      <c r="H40" s="197"/>
      <c r="I40" s="197"/>
      <c r="J40" s="197"/>
      <c r="K40" s="197"/>
      <c r="L40" s="197"/>
      <c r="M40" s="197"/>
    </row>
    <row r="41" spans="1:13" ht="15" customHeight="1">
      <c r="A41" s="200" t="s">
        <v>48</v>
      </c>
      <c r="B41" s="200"/>
      <c r="C41" s="200"/>
      <c r="D41" s="196">
        <f>'Returns &amp; Waterfall'!F7</f>
        <v>46233880.000000007</v>
      </c>
      <c r="E41" s="196"/>
      <c r="F41" s="6">
        <f>'Returns &amp; Waterfall'!F7/'Returns &amp; Waterfall'!$F$12</f>
        <v>5.0632159750593972E-2</v>
      </c>
      <c r="G41" s="197" t="str">
        <f>REPT("â–ˆ",ROUND('Returns &amp; Waterfall'!F7/MAX('Returns &amp; Waterfall'!$F$4:$F$11)*30,0))</f>
        <v>â–ˆâ–ˆ</v>
      </c>
      <c r="H41" s="197"/>
      <c r="I41" s="197"/>
      <c r="J41" s="197"/>
      <c r="K41" s="197"/>
      <c r="L41" s="197"/>
      <c r="M41" s="197"/>
    </row>
    <row r="42" spans="1:13" ht="15" customHeight="1">
      <c r="A42" s="200" t="s">
        <v>49</v>
      </c>
      <c r="B42" s="200"/>
      <c r="C42" s="200"/>
      <c r="D42" s="196">
        <f>'Returns &amp; Waterfall'!F8</f>
        <v>9000000</v>
      </c>
      <c r="E42" s="196"/>
      <c r="F42" s="6">
        <f>'Returns &amp; Waterfall'!F8/'Returns &amp; Waterfall'!$F$12</f>
        <v>9.8561798783780574E-3</v>
      </c>
      <c r="G42" s="197" t="str">
        <f>REPT("â–ˆ",ROUND('Returns &amp; Waterfall'!F8/MAX('Returns &amp; Waterfall'!$F$4:$F$11)*30,0))</f>
        <v/>
      </c>
      <c r="H42" s="197"/>
      <c r="I42" s="197"/>
      <c r="J42" s="197"/>
      <c r="K42" s="197"/>
      <c r="L42" s="197"/>
      <c r="M42" s="197"/>
    </row>
    <row r="43" spans="1:13" ht="15" customHeight="1">
      <c r="A43" s="200" t="s">
        <v>50</v>
      </c>
      <c r="B43" s="200"/>
      <c r="C43" s="200"/>
      <c r="D43" s="196">
        <f>'Returns &amp; Waterfall'!F9</f>
        <v>61562992.922012262</v>
      </c>
      <c r="E43" s="196"/>
      <c r="F43" s="6">
        <f>'Returns &amp; Waterfall'!F9/'Returns &amp; Waterfall'!$F$12</f>
        <v>6.7419548010074215E-2</v>
      </c>
      <c r="G43" s="197" t="str">
        <f>REPT("â–ˆ",ROUND('Returns &amp; Waterfall'!F9/MAX('Returns &amp; Waterfall'!$F$4:$F$11)*30,0))</f>
        <v>â–ˆâ–ˆâ–ˆ</v>
      </c>
      <c r="H43" s="197"/>
      <c r="I43" s="197"/>
      <c r="J43" s="197"/>
      <c r="K43" s="197"/>
      <c r="L43" s="197"/>
      <c r="M43" s="197"/>
    </row>
    <row r="44" spans="1:13" ht="15" customHeight="1">
      <c r="A44" s="200" t="s">
        <v>51</v>
      </c>
      <c r="B44" s="200"/>
      <c r="C44" s="200"/>
      <c r="D44" s="196">
        <f>'Returns &amp; Waterfall'!F10</f>
        <v>6728111.150364616</v>
      </c>
      <c r="E44" s="196"/>
      <c r="F44" s="6">
        <f>'Returns &amp; Waterfall'!F10/'Returns &amp; Waterfall'!$F$12</f>
        <v>7.3681637488571964E-3</v>
      </c>
      <c r="G44" s="197" t="str">
        <f>REPT("â–ˆ",ROUND('Returns &amp; Waterfall'!F10/MAX('Returns &amp; Waterfall'!$F$4:$F$11)*30,0))</f>
        <v/>
      </c>
      <c r="H44" s="197"/>
      <c r="I44" s="197"/>
      <c r="J44" s="197"/>
      <c r="K44" s="197"/>
      <c r="L44" s="197"/>
      <c r="M44" s="197"/>
    </row>
    <row r="45" spans="1:13" ht="15" customHeight="1">
      <c r="A45" s="200" t="s">
        <v>52</v>
      </c>
      <c r="B45" s="200"/>
      <c r="C45" s="200"/>
      <c r="D45" s="196">
        <f>'Returns &amp; Waterfall'!F11</f>
        <v>1923701.314555191</v>
      </c>
      <c r="E45" s="196"/>
      <c r="F45" s="6">
        <f>'Returns &amp; Waterfall'!F11/'Returns &amp; Waterfall'!$F$12</f>
        <v>2.106705132058699E-3</v>
      </c>
      <c r="G45" s="197" t="str">
        <f>REPT("â–ˆ",ROUND('Returns &amp; Waterfall'!F11/MAX('Returns &amp; Waterfall'!$F$4:$F$11)*30,0))</f>
        <v/>
      </c>
      <c r="H45" s="197"/>
      <c r="I45" s="197"/>
      <c r="J45" s="197"/>
      <c r="K45" s="197"/>
      <c r="L45" s="197"/>
      <c r="M45" s="197"/>
    </row>
    <row r="46" spans="1:13">
      <c r="A46" s="1"/>
      <c r="B46" s="1"/>
      <c r="C46" s="1"/>
      <c r="D46" s="1"/>
      <c r="E46" s="1"/>
      <c r="F46" s="1"/>
      <c r="G46" s="1"/>
      <c r="H46" s="1"/>
      <c r="I46" s="1"/>
      <c r="J46" s="1"/>
      <c r="K46" s="1"/>
      <c r="L46" s="1"/>
      <c r="M46" s="1"/>
    </row>
    <row r="47" spans="1:13" ht="23.05" customHeight="1">
      <c r="A47" s="201" t="s">
        <v>53</v>
      </c>
      <c r="B47" s="201"/>
      <c r="C47" s="201"/>
      <c r="D47" s="201"/>
      <c r="E47" s="201"/>
      <c r="F47" s="201"/>
      <c r="G47" s="201"/>
      <c r="H47" s="201"/>
      <c r="I47" s="201"/>
      <c r="J47" s="201"/>
      <c r="K47" s="201"/>
      <c r="L47" s="201"/>
      <c r="M47" s="201"/>
    </row>
    <row r="48" spans="1:13" ht="15.75" customHeight="1">
      <c r="A48" s="195" t="s">
        <v>11</v>
      </c>
      <c r="B48" s="195"/>
      <c r="C48" s="195"/>
      <c r="D48" s="196">
        <f>'Returns &amp; Waterfall'!B4</f>
        <v>1119327144.0365865</v>
      </c>
      <c r="E48" s="196"/>
      <c r="F48" s="196"/>
      <c r="G48" s="197" t="str">
        <f>REPT("â–ˆ",ROUND(('Returns &amp; Waterfall'!B4)/('Returns &amp; Waterfall'!$B$4)*30,0))</f>
        <v>â–ˆâ–ˆâ–ˆâ–ˆâ–ˆâ–ˆâ–ˆâ–ˆâ–ˆâ–ˆâ–ˆâ–ˆâ–ˆâ–ˆâ–ˆâ–ˆâ–ˆâ–ˆâ–ˆâ–ˆâ–ˆâ–ˆâ–ˆâ–ˆâ–ˆâ–ˆâ–ˆâ–ˆâ–ˆâ–ˆ</v>
      </c>
      <c r="H48" s="197"/>
      <c r="I48" s="197"/>
      <c r="J48" s="197"/>
      <c r="K48" s="197"/>
      <c r="L48" s="197"/>
      <c r="M48" s="197"/>
    </row>
    <row r="49" spans="1:13" ht="15.75" customHeight="1">
      <c r="A49" s="195" t="s">
        <v>54</v>
      </c>
      <c r="B49" s="195"/>
      <c r="C49" s="195"/>
      <c r="D49" s="196">
        <f>'Returns &amp; Waterfall'!B9</f>
        <v>941428283.645275</v>
      </c>
      <c r="E49" s="196"/>
      <c r="F49" s="196"/>
      <c r="G49" s="197" t="str">
        <f>REPT("â–ˆ",ROUND(('Returns &amp; Waterfall'!B9)/('Returns &amp; Waterfall'!$B$4)*30,0))</f>
        <v>â–ˆâ–ˆâ–ˆâ–ˆâ–ˆâ–ˆâ–ˆâ–ˆâ–ˆâ–ˆâ–ˆâ–ˆâ–ˆâ–ˆâ–ˆâ–ˆâ–ˆâ–ˆâ–ˆâ–ˆâ–ˆâ–ˆâ–ˆâ–ˆâ–ˆ</v>
      </c>
      <c r="H49" s="197"/>
      <c r="I49" s="197"/>
      <c r="J49" s="197"/>
      <c r="K49" s="197"/>
      <c r="L49" s="197"/>
      <c r="M49" s="197"/>
    </row>
    <row r="50" spans="1:13" ht="15.75" customHeight="1">
      <c r="A50" s="195" t="s">
        <v>55</v>
      </c>
      <c r="B50" s="195"/>
      <c r="C50" s="195"/>
      <c r="D50" s="196">
        <f>'Returns &amp; Waterfall'!B10</f>
        <v>177898860.39131153</v>
      </c>
      <c r="E50" s="196"/>
      <c r="F50" s="196"/>
      <c r="G50" s="197" t="str">
        <f>REPT("â–ˆ",ROUND(('Returns &amp; Waterfall'!B10)/('Returns &amp; Waterfall'!$B$4)*30,0))</f>
        <v>â–ˆâ–ˆâ–ˆâ–ˆâ–ˆ</v>
      </c>
      <c r="H50" s="197"/>
      <c r="I50" s="197"/>
      <c r="J50" s="197"/>
      <c r="K50" s="197"/>
      <c r="L50" s="197"/>
      <c r="M50" s="197"/>
    </row>
    <row r="51" spans="1:13">
      <c r="A51" s="1"/>
      <c r="B51" s="1"/>
      <c r="C51" s="1"/>
      <c r="D51" s="1"/>
      <c r="E51" s="1"/>
      <c r="F51" s="1"/>
      <c r="G51" s="1"/>
      <c r="H51" s="1"/>
      <c r="I51" s="1"/>
      <c r="J51" s="1"/>
      <c r="K51" s="1"/>
      <c r="L51" s="1"/>
      <c r="M51" s="1"/>
    </row>
    <row r="52" spans="1:13">
      <c r="A52" s="198" t="s">
        <v>56</v>
      </c>
      <c r="B52" s="198"/>
      <c r="C52" s="198"/>
      <c r="D52" s="198"/>
      <c r="E52" s="198"/>
      <c r="F52" s="198"/>
      <c r="G52" s="198"/>
      <c r="H52" s="198"/>
      <c r="I52" s="198"/>
      <c r="J52" s="198"/>
      <c r="K52" s="198"/>
      <c r="L52" s="198"/>
      <c r="M52" s="198"/>
    </row>
    <row r="53" spans="1:13">
      <c r="A53" s="199" t="s">
        <v>57</v>
      </c>
      <c r="B53" s="199"/>
      <c r="C53" s="199"/>
      <c r="D53" s="199"/>
      <c r="E53" s="199"/>
      <c r="F53" s="199"/>
      <c r="G53" s="199"/>
      <c r="H53" s="199"/>
      <c r="I53" s="199"/>
      <c r="J53" s="199"/>
      <c r="K53" s="199"/>
      <c r="L53" s="199"/>
      <c r="M53" s="199"/>
    </row>
  </sheetData>
  <mergeCells count="101">
    <mergeCell ref="A1:M1"/>
    <mergeCell ref="A2:M2"/>
    <mergeCell ref="A3:I3"/>
    <mergeCell ref="J3:M3"/>
    <mergeCell ref="A5:C5"/>
    <mergeCell ref="D5:F5"/>
    <mergeCell ref="G5:I5"/>
    <mergeCell ref="J5:L5"/>
    <mergeCell ref="A6:C7"/>
    <mergeCell ref="D6:F7"/>
    <mergeCell ref="G6:I7"/>
    <mergeCell ref="J6:L7"/>
    <mergeCell ref="A8:C8"/>
    <mergeCell ref="D8:F8"/>
    <mergeCell ref="G8:I8"/>
    <mergeCell ref="J8:L8"/>
    <mergeCell ref="A10:C10"/>
    <mergeCell ref="D10:F10"/>
    <mergeCell ref="G10:I10"/>
    <mergeCell ref="J10:L10"/>
    <mergeCell ref="A11:C12"/>
    <mergeCell ref="D11:F12"/>
    <mergeCell ref="G11:I12"/>
    <mergeCell ref="J11:L12"/>
    <mergeCell ref="A13:C13"/>
    <mergeCell ref="D13:F13"/>
    <mergeCell ref="G13:I13"/>
    <mergeCell ref="J13:L13"/>
    <mergeCell ref="A15:C15"/>
    <mergeCell ref="D15:F15"/>
    <mergeCell ref="G15:I15"/>
    <mergeCell ref="J15:L15"/>
    <mergeCell ref="A16:C17"/>
    <mergeCell ref="D16:F17"/>
    <mergeCell ref="G16:I17"/>
    <mergeCell ref="J16:L17"/>
    <mergeCell ref="A18:C18"/>
    <mergeCell ref="D18:F18"/>
    <mergeCell ref="G18:I18"/>
    <mergeCell ref="J18:L18"/>
    <mergeCell ref="A20:M20"/>
    <mergeCell ref="A21:C21"/>
    <mergeCell ref="D21:F21"/>
    <mergeCell ref="G21:M21"/>
    <mergeCell ref="A22:C22"/>
    <mergeCell ref="D22:F22"/>
    <mergeCell ref="G22:M22"/>
    <mergeCell ref="A25:M25"/>
    <mergeCell ref="C27:G27"/>
    <mergeCell ref="I27:M27"/>
    <mergeCell ref="C28:G28"/>
    <mergeCell ref="I28:M28"/>
    <mergeCell ref="C29:G29"/>
    <mergeCell ref="I29:M29"/>
    <mergeCell ref="C30:G30"/>
    <mergeCell ref="I30:M30"/>
    <mergeCell ref="C31:G31"/>
    <mergeCell ref="I31:M31"/>
    <mergeCell ref="C32:G32"/>
    <mergeCell ref="I32:M32"/>
    <mergeCell ref="C33:G33"/>
    <mergeCell ref="I33:M33"/>
    <mergeCell ref="C34:G34"/>
    <mergeCell ref="I34:M34"/>
    <mergeCell ref="A37:M37"/>
    <mergeCell ref="A38:C38"/>
    <mergeCell ref="D38:E38"/>
    <mergeCell ref="G38:M38"/>
    <mergeCell ref="A39:C39"/>
    <mergeCell ref="D39:E39"/>
    <mergeCell ref="G39:M39"/>
    <mergeCell ref="A40:C40"/>
    <mergeCell ref="D40:E40"/>
    <mergeCell ref="G40:M40"/>
    <mergeCell ref="A41:C41"/>
    <mergeCell ref="D41:E41"/>
    <mergeCell ref="G41:M41"/>
    <mergeCell ref="A42:C42"/>
    <mergeCell ref="D42:E42"/>
    <mergeCell ref="G42:M42"/>
    <mergeCell ref="A43:C43"/>
    <mergeCell ref="D43:E43"/>
    <mergeCell ref="G43:M43"/>
    <mergeCell ref="A49:C49"/>
    <mergeCell ref="D49:F49"/>
    <mergeCell ref="G49:M49"/>
    <mergeCell ref="A50:C50"/>
    <mergeCell ref="D50:F50"/>
    <mergeCell ref="G50:M50"/>
    <mergeCell ref="A52:M52"/>
    <mergeCell ref="A53:M53"/>
    <mergeCell ref="A44:C44"/>
    <mergeCell ref="D44:E44"/>
    <mergeCell ref="G44:M44"/>
    <mergeCell ref="A45:C45"/>
    <mergeCell ref="D45:E45"/>
    <mergeCell ref="G45:M45"/>
    <mergeCell ref="A47:M47"/>
    <mergeCell ref="A48:C48"/>
    <mergeCell ref="D48:F48"/>
    <mergeCell ref="G48:M48"/>
  </mergeCells>
  <printOptions horizontalCentered="1"/>
  <pageMargins left="0.27777777777777779" right="0.27777777777777779" top="0.33333333333333331" bottom="0.33333333333333331" header="0.511811023622047" footer="0.511811023622047"/>
  <pageSetup scale="61"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41"/>
  <sheetViews>
    <sheetView showGridLines="0" tabSelected="1" zoomScaleNormal="100" workbookViewId="0">
      <pane xSplit="1" ySplit="3" topLeftCell="B4" activePane="bottomRight" state="frozen"/>
      <selection pane="topRight" activeCell="B1" sqref="B1"/>
      <selection pane="bottomLeft" activeCell="A4" sqref="A4"/>
      <selection pane="bottomRight" activeCell="F10" sqref="F10"/>
    </sheetView>
  </sheetViews>
  <sheetFormatPr defaultColWidth="8.68359375" defaultRowHeight="14.4"/>
  <cols>
    <col min="1" max="1" width="9.578125" customWidth="1"/>
    <col min="2" max="4" width="16.578125" customWidth="1"/>
    <col min="5" max="5" width="18.578125" customWidth="1"/>
    <col min="6" max="11" width="16.578125" customWidth="1"/>
    <col min="12" max="20" width="20.578125" customWidth="1"/>
    <col min="21" max="21" width="8.578125" customWidth="1"/>
    <col min="22" max="24" width="20.578125" customWidth="1"/>
  </cols>
  <sheetData>
    <row r="1" spans="1:24" ht="32.049999999999997" customHeight="1">
      <c r="A1" s="255" t="s">
        <v>194</v>
      </c>
      <c r="B1" s="255"/>
      <c r="C1" s="255"/>
      <c r="D1" s="255"/>
      <c r="E1" s="255"/>
      <c r="F1" s="255"/>
      <c r="G1" s="255"/>
      <c r="H1" s="255"/>
      <c r="I1" s="255"/>
      <c r="J1" s="255"/>
      <c r="K1" s="255"/>
      <c r="L1" s="255"/>
      <c r="M1" s="255"/>
      <c r="N1" s="255"/>
      <c r="O1" s="255"/>
      <c r="P1" s="255"/>
      <c r="Q1" s="255"/>
      <c r="R1" s="255"/>
      <c r="S1" s="255"/>
      <c r="T1" s="255"/>
      <c r="U1" s="255"/>
      <c r="V1" s="255"/>
      <c r="W1" s="255"/>
      <c r="X1" s="255"/>
    </row>
    <row r="2" spans="1:24">
      <c r="A2" s="1"/>
      <c r="B2" s="1"/>
      <c r="C2" s="1"/>
      <c r="D2" s="1"/>
      <c r="E2" s="1"/>
      <c r="F2" s="1"/>
      <c r="G2" s="1"/>
      <c r="H2" s="1"/>
      <c r="I2" s="1"/>
      <c r="J2" s="1"/>
      <c r="K2" s="1"/>
      <c r="L2" s="1"/>
      <c r="M2" s="1"/>
      <c r="N2" s="1"/>
      <c r="O2" s="1"/>
      <c r="P2" s="1"/>
      <c r="Q2" s="1"/>
      <c r="R2" s="1"/>
      <c r="S2" s="1"/>
      <c r="T2" s="1"/>
      <c r="U2" s="1">
        <f>SUM(U4:U40)</f>
        <v>1140</v>
      </c>
      <c r="V2" s="1"/>
      <c r="W2" s="1"/>
      <c r="X2" s="1"/>
    </row>
    <row r="3" spans="1:24">
      <c r="A3" s="64" t="s">
        <v>32</v>
      </c>
      <c r="B3" s="64" t="s">
        <v>195</v>
      </c>
      <c r="C3" s="64" t="s">
        <v>196</v>
      </c>
      <c r="D3" s="64" t="s">
        <v>50</v>
      </c>
      <c r="E3" s="64" t="s">
        <v>197</v>
      </c>
      <c r="F3" s="64" t="s">
        <v>54</v>
      </c>
      <c r="G3" s="64" t="s">
        <v>198</v>
      </c>
      <c r="H3" s="64" t="s">
        <v>199</v>
      </c>
      <c r="I3" s="64" t="s">
        <v>200</v>
      </c>
      <c r="J3" s="64" t="s">
        <v>201</v>
      </c>
      <c r="K3" s="64" t="s">
        <v>190</v>
      </c>
      <c r="L3" s="64" t="s">
        <v>202</v>
      </c>
      <c r="M3" s="64" t="s">
        <v>203</v>
      </c>
      <c r="N3" s="64" t="s">
        <v>204</v>
      </c>
      <c r="O3" s="64" t="s">
        <v>51</v>
      </c>
      <c r="P3" s="64" t="s">
        <v>205</v>
      </c>
      <c r="Q3" s="64" t="s">
        <v>206</v>
      </c>
      <c r="R3" s="64" t="s">
        <v>207</v>
      </c>
      <c r="S3" s="64" t="s">
        <v>208</v>
      </c>
      <c r="T3" s="64" t="s">
        <v>209</v>
      </c>
      <c r="U3" s="33" t="s">
        <v>210</v>
      </c>
      <c r="V3" s="64" t="s">
        <v>211</v>
      </c>
      <c r="W3" s="64" t="s">
        <v>212</v>
      </c>
      <c r="X3" s="64" t="s">
        <v>213</v>
      </c>
    </row>
    <row r="4" spans="1:24">
      <c r="A4" s="1">
        <v>0</v>
      </c>
      <c r="B4" s="10">
        <f>Assumptions!$B$61*U4/$U$2*(1+Assumptions!$B$89)^MAX(0,A4-Assumptions!$B$39)</f>
        <v>0</v>
      </c>
      <c r="C4" s="10">
        <f>Assumptions!$B$67*U4/$U$2*(1+Assumptions!$B$89)^MAX(0,A4-Assumptions!$B$39)</f>
        <v>0</v>
      </c>
      <c r="D4" s="10">
        <f>Assumptions!$B$30*Sales!$P$62*G4/Assumptions!$B$54+Sales!V25</f>
        <v>0</v>
      </c>
      <c r="E4" s="10">
        <f>IF(A4=0,Assumptions!$B$66,0)</f>
        <v>127200000</v>
      </c>
      <c r="F4" s="10">
        <f t="shared" ref="F4:F40" si="0">B4+C4+D4+E4</f>
        <v>127200000</v>
      </c>
      <c r="G4" s="5">
        <f>Sales!H25</f>
        <v>0</v>
      </c>
      <c r="H4" s="5">
        <f>Sales!I25</f>
        <v>0</v>
      </c>
      <c r="I4" s="10">
        <f>Sales!R25</f>
        <v>0</v>
      </c>
      <c r="J4" s="10">
        <f>Sales!S25+Sales!T25</f>
        <v>0</v>
      </c>
      <c r="K4" s="10">
        <f t="shared" ref="K4:K40" si="1">I4+J4</f>
        <v>0</v>
      </c>
      <c r="L4" s="10">
        <f t="shared" ref="L4:L40" si="2">F4-M4</f>
        <v>127200000</v>
      </c>
      <c r="M4" s="10">
        <f>IF(H4/Assumptions!$B$54&gt;=Assumptions!$B$78,F4*Assumptions!$B$35,0)</f>
        <v>0</v>
      </c>
      <c r="N4" s="10">
        <f>0</f>
        <v>0</v>
      </c>
      <c r="O4" s="10">
        <f>N4*Assumptions!$B$70</f>
        <v>0</v>
      </c>
      <c r="P4" s="10">
        <f t="shared" ref="P4:P40" si="3">MIN(N4+M4+O4,K4)</f>
        <v>0</v>
      </c>
      <c r="Q4" s="10">
        <f t="shared" ref="Q4:Q40" si="4">N4+M4+O4-P4</f>
        <v>0</v>
      </c>
      <c r="R4" s="10">
        <f t="shared" ref="R4:R40" si="5">(K4-P4)-L4</f>
        <v>-127200000</v>
      </c>
      <c r="S4" s="10">
        <f>R4</f>
        <v>-127200000</v>
      </c>
      <c r="T4" s="10">
        <f t="shared" ref="T4:T40" si="6">K4-F4</f>
        <v>-127200000</v>
      </c>
      <c r="U4" s="1">
        <f>IF(AND(A4&gt;Assumptions!$B$39,A4&lt;=Assumptions!$B$39+Assumptions!$B$40),(A4-Assumptions!$B$39)*(Assumptions!$B$40+1-(A4-Assumptions!$B$39)),0)</f>
        <v>0</v>
      </c>
      <c r="V4" s="10">
        <f>R4*Assumptions!$B$45+IF(A4=Assumptions!$B$69,('Returns &amp; Waterfall'!$B$34-'Returns &amp; Waterfall'!$B$29*Assumptions!$B$45),0)</f>
        <v>-114480000</v>
      </c>
      <c r="W4" s="10">
        <f>R4*Assumptions!$B$46-IF(A4=Assumptions!$B$69,('Returns &amp; Waterfall'!$B$34-'Returns &amp; Waterfall'!$B$29*Assumptions!$B$45),0)</f>
        <v>-12719999.999999996</v>
      </c>
      <c r="X4" s="10">
        <f>R4-IF(A4=Assumptions!$B$69,'Returns &amp; Waterfall'!$B$45,0)</f>
        <v>-127200000</v>
      </c>
    </row>
    <row r="5" spans="1:24">
      <c r="A5" s="1">
        <v>1</v>
      </c>
      <c r="B5" s="10">
        <f>Assumptions!$B$61*U5/$U$2*(1+Assumptions!$B$89)^MAX(0,A5-Assumptions!$B$39)</f>
        <v>0</v>
      </c>
      <c r="C5" s="10">
        <f>Assumptions!$B$67*U5/$U$2*(1+Assumptions!$B$89)^MAX(0,A5-Assumptions!$B$39)</f>
        <v>0</v>
      </c>
      <c r="D5" s="10">
        <f>Assumptions!$B$30*Sales!$P$62*G5/Assumptions!$B$54+Sales!V26</f>
        <v>0</v>
      </c>
      <c r="E5" s="10">
        <f>IF(A5=0,Assumptions!$B$66,0)</f>
        <v>0</v>
      </c>
      <c r="F5" s="10">
        <f t="shared" si="0"/>
        <v>0</v>
      </c>
      <c r="G5" s="5">
        <f>Sales!H26</f>
        <v>0</v>
      </c>
      <c r="H5" s="5">
        <f>Sales!I26</f>
        <v>0</v>
      </c>
      <c r="I5" s="10">
        <f>Sales!R26</f>
        <v>0</v>
      </c>
      <c r="J5" s="10">
        <f>Sales!S26+Sales!T26</f>
        <v>0</v>
      </c>
      <c r="K5" s="10">
        <f t="shared" si="1"/>
        <v>0</v>
      </c>
      <c r="L5" s="10">
        <f t="shared" si="2"/>
        <v>0</v>
      </c>
      <c r="M5" s="10">
        <f>IF(H5/Assumptions!$B$54&gt;=Assumptions!$B$78,F5*Assumptions!$B$35,0)</f>
        <v>0</v>
      </c>
      <c r="N5" s="10">
        <f t="shared" ref="N5:N40" si="7">Q4</f>
        <v>0</v>
      </c>
      <c r="O5" s="10">
        <f>N5*Assumptions!$B$70</f>
        <v>0</v>
      </c>
      <c r="P5" s="10">
        <f t="shared" si="3"/>
        <v>0</v>
      </c>
      <c r="Q5" s="10">
        <f t="shared" si="4"/>
        <v>0</v>
      </c>
      <c r="R5" s="10">
        <f t="shared" si="5"/>
        <v>0</v>
      </c>
      <c r="S5" s="10">
        <f t="shared" ref="S5:S40" si="8">S4+R5</f>
        <v>-127200000</v>
      </c>
      <c r="T5" s="10">
        <f t="shared" si="6"/>
        <v>0</v>
      </c>
      <c r="U5" s="1">
        <f>IF(AND(A5&gt;Assumptions!$B$39,A5&lt;=Assumptions!$B$39+Assumptions!$B$40),(A5-Assumptions!$B$39)*(Assumptions!$B$40+1-(A5-Assumptions!$B$39)),0)</f>
        <v>0</v>
      </c>
      <c r="V5" s="10">
        <f>R5*Assumptions!$B$45+IF(A5=Assumptions!$B$69,('Returns &amp; Waterfall'!$B$34-'Returns &amp; Waterfall'!$B$29*Assumptions!$B$45),0)</f>
        <v>0</v>
      </c>
      <c r="W5" s="10">
        <f>R5*Assumptions!$B$46-IF(A5=Assumptions!$B$69,('Returns &amp; Waterfall'!$B$34-'Returns &amp; Waterfall'!$B$29*Assumptions!$B$45),0)</f>
        <v>0</v>
      </c>
      <c r="X5" s="10">
        <f>R5-IF(A5=Assumptions!$B$69,'Returns &amp; Waterfall'!$B$45,0)</f>
        <v>0</v>
      </c>
    </row>
    <row r="6" spans="1:24">
      <c r="A6" s="1">
        <v>2</v>
      </c>
      <c r="B6" s="10">
        <f>Assumptions!$B$61*U6/$U$2*(1+Assumptions!$B$89)^MAX(0,A6-Assumptions!$B$39)</f>
        <v>0</v>
      </c>
      <c r="C6" s="10">
        <f>Assumptions!$B$67*U6/$U$2*(1+Assumptions!$B$89)^MAX(0,A6-Assumptions!$B$39)</f>
        <v>0</v>
      </c>
      <c r="D6" s="10">
        <f>Assumptions!$B$30*Sales!$P$62*G6/Assumptions!$B$54+Sales!V27</f>
        <v>0</v>
      </c>
      <c r="E6" s="10">
        <f>IF(A6=0,Assumptions!$B$66,0)</f>
        <v>0</v>
      </c>
      <c r="F6" s="10">
        <f t="shared" si="0"/>
        <v>0</v>
      </c>
      <c r="G6" s="5">
        <f>Sales!H27</f>
        <v>0</v>
      </c>
      <c r="H6" s="5">
        <f>Sales!I27</f>
        <v>0</v>
      </c>
      <c r="I6" s="10">
        <f>Sales!R27</f>
        <v>0</v>
      </c>
      <c r="J6" s="10">
        <f>Sales!S27+Sales!T27</f>
        <v>0</v>
      </c>
      <c r="K6" s="10">
        <f t="shared" si="1"/>
        <v>0</v>
      </c>
      <c r="L6" s="10">
        <f t="shared" si="2"/>
        <v>0</v>
      </c>
      <c r="M6" s="10">
        <f>IF(H6/Assumptions!$B$54&gt;=Assumptions!$B$78,F6*Assumptions!$B$35,0)</f>
        <v>0</v>
      </c>
      <c r="N6" s="10">
        <f t="shared" si="7"/>
        <v>0</v>
      </c>
      <c r="O6" s="10">
        <f>N6*Assumptions!$B$70</f>
        <v>0</v>
      </c>
      <c r="P6" s="10">
        <f t="shared" si="3"/>
        <v>0</v>
      </c>
      <c r="Q6" s="10">
        <f t="shared" si="4"/>
        <v>0</v>
      </c>
      <c r="R6" s="10">
        <f t="shared" si="5"/>
        <v>0</v>
      </c>
      <c r="S6" s="10">
        <f t="shared" si="8"/>
        <v>-127200000</v>
      </c>
      <c r="T6" s="10">
        <f t="shared" si="6"/>
        <v>0</v>
      </c>
      <c r="U6" s="1">
        <f>IF(AND(A6&gt;Assumptions!$B$39,A6&lt;=Assumptions!$B$39+Assumptions!$B$40),(A6-Assumptions!$B$39)*(Assumptions!$B$40+1-(A6-Assumptions!$B$39)),0)</f>
        <v>0</v>
      </c>
      <c r="V6" s="10">
        <f>R6*Assumptions!$B$45+IF(A6=Assumptions!$B$69,('Returns &amp; Waterfall'!$B$34-'Returns &amp; Waterfall'!$B$29*Assumptions!$B$45),0)</f>
        <v>0</v>
      </c>
      <c r="W6" s="10">
        <f>R6*Assumptions!$B$46-IF(A6=Assumptions!$B$69,('Returns &amp; Waterfall'!$B$34-'Returns &amp; Waterfall'!$B$29*Assumptions!$B$45),0)</f>
        <v>0</v>
      </c>
      <c r="X6" s="10">
        <f>R6-IF(A6=Assumptions!$B$69,'Returns &amp; Waterfall'!$B$45,0)</f>
        <v>0</v>
      </c>
    </row>
    <row r="7" spans="1:24">
      <c r="A7" s="1">
        <v>3</v>
      </c>
      <c r="B7" s="10">
        <f>Assumptions!$B$61*U7/$U$2*(1+Assumptions!$B$89)^MAX(0,A7-Assumptions!$B$39)</f>
        <v>0</v>
      </c>
      <c r="C7" s="10">
        <f>Assumptions!$B$67*U7/$U$2*(1+Assumptions!$B$89)^MAX(0,A7-Assumptions!$B$39)</f>
        <v>0</v>
      </c>
      <c r="D7" s="10">
        <f>Assumptions!$B$30*Sales!$P$62*G7/Assumptions!$B$54+Sales!V28</f>
        <v>0</v>
      </c>
      <c r="E7" s="10">
        <f>IF(A7=0,Assumptions!$B$66,0)</f>
        <v>0</v>
      </c>
      <c r="F7" s="10">
        <f t="shared" si="0"/>
        <v>0</v>
      </c>
      <c r="G7" s="5">
        <f>Sales!H28</f>
        <v>0</v>
      </c>
      <c r="H7" s="5">
        <f>Sales!I28</f>
        <v>0</v>
      </c>
      <c r="I7" s="10">
        <f>Sales!R28</f>
        <v>0</v>
      </c>
      <c r="J7" s="10">
        <f>Sales!S28+Sales!T28</f>
        <v>0</v>
      </c>
      <c r="K7" s="10">
        <f t="shared" si="1"/>
        <v>0</v>
      </c>
      <c r="L7" s="10">
        <f t="shared" si="2"/>
        <v>0</v>
      </c>
      <c r="M7" s="10">
        <f>IF(H7/Assumptions!$B$54&gt;=Assumptions!$B$78,F7*Assumptions!$B$35,0)</f>
        <v>0</v>
      </c>
      <c r="N7" s="10">
        <f t="shared" si="7"/>
        <v>0</v>
      </c>
      <c r="O7" s="10">
        <f>N7*Assumptions!$B$70</f>
        <v>0</v>
      </c>
      <c r="P7" s="10">
        <f t="shared" si="3"/>
        <v>0</v>
      </c>
      <c r="Q7" s="10">
        <f t="shared" si="4"/>
        <v>0</v>
      </c>
      <c r="R7" s="10">
        <f t="shared" si="5"/>
        <v>0</v>
      </c>
      <c r="S7" s="10">
        <f t="shared" si="8"/>
        <v>-127200000</v>
      </c>
      <c r="T7" s="10">
        <f t="shared" si="6"/>
        <v>0</v>
      </c>
      <c r="U7" s="1">
        <f>IF(AND(A7&gt;Assumptions!$B$39,A7&lt;=Assumptions!$B$39+Assumptions!$B$40),(A7-Assumptions!$B$39)*(Assumptions!$B$40+1-(A7-Assumptions!$B$39)),0)</f>
        <v>0</v>
      </c>
      <c r="V7" s="10">
        <f>R7*Assumptions!$B$45+IF(A7=Assumptions!$B$69,('Returns &amp; Waterfall'!$B$34-'Returns &amp; Waterfall'!$B$29*Assumptions!$B$45),0)</f>
        <v>0</v>
      </c>
      <c r="W7" s="10">
        <f>R7*Assumptions!$B$46-IF(A7=Assumptions!$B$69,('Returns &amp; Waterfall'!$B$34-'Returns &amp; Waterfall'!$B$29*Assumptions!$B$45),0)</f>
        <v>0</v>
      </c>
      <c r="X7" s="10">
        <f>R7-IF(A7=Assumptions!$B$69,'Returns &amp; Waterfall'!$B$45,0)</f>
        <v>0</v>
      </c>
    </row>
    <row r="8" spans="1:24">
      <c r="A8" s="1">
        <v>4</v>
      </c>
      <c r="B8" s="10">
        <f>Assumptions!$B$61*U8/$U$2*(1+Assumptions!$B$89)^MAX(0,A8-Assumptions!$B$39)</f>
        <v>9519256.8455471657</v>
      </c>
      <c r="C8" s="10">
        <f>Assumptions!$B$67*U8/$U$2*(1+Assumptions!$B$89)^MAX(0,A8-Assumptions!$B$39)</f>
        <v>1827592.6792521561</v>
      </c>
      <c r="D8" s="10">
        <f>Assumptions!$B$30*Sales!$P$62*G8/Assumptions!$B$54+Sales!V29</f>
        <v>0</v>
      </c>
      <c r="E8" s="10">
        <f>IF(A8=0,Assumptions!$B$66,0)</f>
        <v>0</v>
      </c>
      <c r="F8" s="10">
        <f t="shared" si="0"/>
        <v>11346849.524799321</v>
      </c>
      <c r="G8" s="5">
        <f>Sales!H29</f>
        <v>0</v>
      </c>
      <c r="H8" s="5">
        <f>Sales!I29</f>
        <v>0</v>
      </c>
      <c r="I8" s="10">
        <f>Sales!R29</f>
        <v>0</v>
      </c>
      <c r="J8" s="10">
        <f>Sales!S29+Sales!T29</f>
        <v>0</v>
      </c>
      <c r="K8" s="10">
        <f t="shared" si="1"/>
        <v>0</v>
      </c>
      <c r="L8" s="10">
        <f t="shared" si="2"/>
        <v>11346849.524799321</v>
      </c>
      <c r="M8" s="10">
        <f>IF(H8/Assumptions!$B$54&gt;=Assumptions!$B$78,F8*Assumptions!$B$35,0)</f>
        <v>0</v>
      </c>
      <c r="N8" s="10">
        <f t="shared" si="7"/>
        <v>0</v>
      </c>
      <c r="O8" s="10">
        <f>N8*Assumptions!$B$70</f>
        <v>0</v>
      </c>
      <c r="P8" s="10">
        <f t="shared" si="3"/>
        <v>0</v>
      </c>
      <c r="Q8" s="10">
        <f t="shared" si="4"/>
        <v>0</v>
      </c>
      <c r="R8" s="10">
        <f t="shared" si="5"/>
        <v>-11346849.524799321</v>
      </c>
      <c r="S8" s="10">
        <f t="shared" si="8"/>
        <v>-138546849.52479932</v>
      </c>
      <c r="T8" s="10">
        <f t="shared" si="6"/>
        <v>-11346849.524799321</v>
      </c>
      <c r="U8" s="1">
        <f>IF(AND(A8&gt;Assumptions!$B$39,A8&lt;=Assumptions!$B$39+Assumptions!$B$40),(A8-Assumptions!$B$39)*(Assumptions!$B$40+1-(A8-Assumptions!$B$39)),0)</f>
        <v>18</v>
      </c>
      <c r="V8" s="10">
        <f>R8*Assumptions!$B$45+IF(A8=Assumptions!$B$69,('Returns &amp; Waterfall'!$B$34-'Returns &amp; Waterfall'!$B$29*Assumptions!$B$45),0)</f>
        <v>-10212164.572319388</v>
      </c>
      <c r="W8" s="10">
        <f>R8*Assumptions!$B$46-IF(A8=Assumptions!$B$69,('Returns &amp; Waterfall'!$B$34-'Returns &amp; Waterfall'!$B$29*Assumptions!$B$45),0)</f>
        <v>-1134684.9524799318</v>
      </c>
      <c r="X8" s="10">
        <f>R8-IF(A8=Assumptions!$B$69,'Returns &amp; Waterfall'!$B$45,0)</f>
        <v>-11346849.524799321</v>
      </c>
    </row>
    <row r="9" spans="1:24">
      <c r="A9" s="1">
        <v>5</v>
      </c>
      <c r="B9" s="10">
        <f>Assumptions!$B$61*U9/$U$2*(1+Assumptions!$B$89)^MAX(0,A9-Assumptions!$B$39)</f>
        <v>18054074.566276949</v>
      </c>
      <c r="C9" s="10">
        <f>Assumptions!$B$67*U9/$U$2*(1+Assumptions!$B$89)^MAX(0,A9-Assumptions!$B$39)</f>
        <v>3466183.8674344253</v>
      </c>
      <c r="D9" s="10">
        <f>Assumptions!$B$30*Sales!$P$62*G9/Assumptions!$B$54+Sales!V30</f>
        <v>0</v>
      </c>
      <c r="E9" s="10">
        <f>IF(A9=0,Assumptions!$B$66,0)</f>
        <v>0</v>
      </c>
      <c r="F9" s="10">
        <f t="shared" si="0"/>
        <v>21520258.433711372</v>
      </c>
      <c r="G9" s="5">
        <f>Sales!H30</f>
        <v>0</v>
      </c>
      <c r="H9" s="5">
        <f>Sales!I30</f>
        <v>0</v>
      </c>
      <c r="I9" s="10">
        <f>Sales!R30</f>
        <v>0</v>
      </c>
      <c r="J9" s="10">
        <f>Sales!S30+Sales!T30</f>
        <v>0</v>
      </c>
      <c r="K9" s="10">
        <f t="shared" si="1"/>
        <v>0</v>
      </c>
      <c r="L9" s="10">
        <f t="shared" si="2"/>
        <v>21520258.433711372</v>
      </c>
      <c r="M9" s="10">
        <f>IF(H9/Assumptions!$B$54&gt;=Assumptions!$B$78,F9*Assumptions!$B$35,0)</f>
        <v>0</v>
      </c>
      <c r="N9" s="10">
        <f t="shared" si="7"/>
        <v>0</v>
      </c>
      <c r="O9" s="10">
        <f>N9*Assumptions!$B$70</f>
        <v>0</v>
      </c>
      <c r="P9" s="10">
        <f t="shared" si="3"/>
        <v>0</v>
      </c>
      <c r="Q9" s="10">
        <f t="shared" si="4"/>
        <v>0</v>
      </c>
      <c r="R9" s="10">
        <f t="shared" si="5"/>
        <v>-21520258.433711372</v>
      </c>
      <c r="S9" s="10">
        <f t="shared" si="8"/>
        <v>-160067107.9585107</v>
      </c>
      <c r="T9" s="10">
        <f t="shared" si="6"/>
        <v>-21520258.433711372</v>
      </c>
      <c r="U9" s="1">
        <f>IF(AND(A9&gt;Assumptions!$B$39,A9&lt;=Assumptions!$B$39+Assumptions!$B$40),(A9-Assumptions!$B$39)*(Assumptions!$B$40+1-(A9-Assumptions!$B$39)),0)</f>
        <v>34</v>
      </c>
      <c r="V9" s="10">
        <f>R9*Assumptions!$B$45+IF(A9=Assumptions!$B$69,('Returns &amp; Waterfall'!$B$34-'Returns &amp; Waterfall'!$B$29*Assumptions!$B$45),0)</f>
        <v>-19368232.590340234</v>
      </c>
      <c r="W9" s="10">
        <f>R9*Assumptions!$B$46-IF(A9=Assumptions!$B$69,('Returns &amp; Waterfall'!$B$34-'Returns &amp; Waterfall'!$B$29*Assumptions!$B$45),0)</f>
        <v>-2152025.8433711366</v>
      </c>
      <c r="X9" s="10">
        <f>R9-IF(A9=Assumptions!$B$69,'Returns &amp; Waterfall'!$B$45,0)</f>
        <v>-21520258.433711372</v>
      </c>
    </row>
    <row r="10" spans="1:24">
      <c r="A10" s="1">
        <v>6</v>
      </c>
      <c r="B10" s="10">
        <f>Assumptions!$B$61*U10/$U$2*(1+Assumptions!$B$89)^MAX(0,A10-Assumptions!$B$39)</f>
        <v>25591946.965918846</v>
      </c>
      <c r="C10" s="10">
        <f>Assumptions!$B$67*U10/$U$2*(1+Assumptions!$B$89)^MAX(0,A10-Assumptions!$B$39)</f>
        <v>4913372.5123302182</v>
      </c>
      <c r="D10" s="10">
        <f>Assumptions!$B$30*Sales!$P$62*G10/Assumptions!$B$54+Sales!V31</f>
        <v>2145006.9187830565</v>
      </c>
      <c r="E10" s="10">
        <f>IF(A10=0,Assumptions!$B$66,0)</f>
        <v>0</v>
      </c>
      <c r="F10" s="10">
        <f t="shared" si="0"/>
        <v>32650326.397032123</v>
      </c>
      <c r="G10" s="5">
        <f>Sales!H31</f>
        <v>4</v>
      </c>
      <c r="H10" s="5">
        <f>Sales!I31</f>
        <v>4</v>
      </c>
      <c r="I10" s="10">
        <f>Sales!R31</f>
        <v>4386720</v>
      </c>
      <c r="J10" s="10">
        <f>Sales!S31+Sales!T31</f>
        <v>0</v>
      </c>
      <c r="K10" s="10">
        <f t="shared" si="1"/>
        <v>4386720</v>
      </c>
      <c r="L10" s="10">
        <f t="shared" si="2"/>
        <v>32650326.397032123</v>
      </c>
      <c r="M10" s="10">
        <f>IF(H10/Assumptions!$B$54&gt;=Assumptions!$B$78,F10*Assumptions!$B$35,0)</f>
        <v>0</v>
      </c>
      <c r="N10" s="10">
        <f t="shared" si="7"/>
        <v>0</v>
      </c>
      <c r="O10" s="10">
        <f>N10*Assumptions!$B$70</f>
        <v>0</v>
      </c>
      <c r="P10" s="10">
        <f t="shared" si="3"/>
        <v>0</v>
      </c>
      <c r="Q10" s="10">
        <f t="shared" si="4"/>
        <v>0</v>
      </c>
      <c r="R10" s="10">
        <f t="shared" si="5"/>
        <v>-28263606.397032123</v>
      </c>
      <c r="S10" s="10">
        <f t="shared" si="8"/>
        <v>-188330714.35554281</v>
      </c>
      <c r="T10" s="10">
        <f t="shared" si="6"/>
        <v>-28263606.397032123</v>
      </c>
      <c r="U10" s="1">
        <f>IF(AND(A10&gt;Assumptions!$B$39,A10&lt;=Assumptions!$B$39+Assumptions!$B$40),(A10-Assumptions!$B$39)*(Assumptions!$B$40+1-(A10-Assumptions!$B$39)),0)</f>
        <v>48</v>
      </c>
      <c r="V10" s="10">
        <f>R10*Assumptions!$B$45+IF(A10=Assumptions!$B$69,('Returns &amp; Waterfall'!$B$34-'Returns &amp; Waterfall'!$B$29*Assumptions!$B$45),0)</f>
        <v>-25437245.757328913</v>
      </c>
      <c r="W10" s="10">
        <f>R10*Assumptions!$B$46-IF(A10=Assumptions!$B$69,('Returns &amp; Waterfall'!$B$34-'Returns &amp; Waterfall'!$B$29*Assumptions!$B$45),0)</f>
        <v>-2826360.6397032118</v>
      </c>
      <c r="X10" s="10">
        <f>R10-IF(A10=Assumptions!$B$69,'Returns &amp; Waterfall'!$B$45,0)</f>
        <v>-28263606.397032123</v>
      </c>
    </row>
    <row r="11" spans="1:24">
      <c r="A11" s="1">
        <v>7</v>
      </c>
      <c r="B11" s="10">
        <f>Assumptions!$B$61*U11/$U$2*(1+Assumptions!$B$89)^MAX(0,A11-Assumptions!$B$39)</f>
        <v>32120264.657153197</v>
      </c>
      <c r="C11" s="10">
        <f>Assumptions!$B$67*U11/$U$2*(1+Assumptions!$B$89)^MAX(0,A11-Assumptions!$B$39)</f>
        <v>6166737.7501757834</v>
      </c>
      <c r="D11" s="10">
        <f>Assumptions!$B$30*Sales!$P$62*G11/Assumptions!$B$54+Sales!V32</f>
        <v>4747113.4375661137</v>
      </c>
      <c r="E11" s="10">
        <f>IF(A11=0,Assumptions!$B$66,0)</f>
        <v>0</v>
      </c>
      <c r="F11" s="10">
        <f t="shared" si="0"/>
        <v>43034115.844895095</v>
      </c>
      <c r="G11" s="5">
        <f>Sales!H32</f>
        <v>8</v>
      </c>
      <c r="H11" s="5">
        <f>Sales!I32</f>
        <v>12</v>
      </c>
      <c r="I11" s="10">
        <f>Sales!R32</f>
        <v>11516037.6</v>
      </c>
      <c r="J11" s="10">
        <f>Sales!S32+Sales!T32</f>
        <v>0</v>
      </c>
      <c r="K11" s="10">
        <f t="shared" si="1"/>
        <v>11516037.6</v>
      </c>
      <c r="L11" s="10">
        <f t="shared" si="2"/>
        <v>43034115.844895095</v>
      </c>
      <c r="M11" s="10">
        <f>IF(H11/Assumptions!$B$54&gt;=Assumptions!$B$78,F11*Assumptions!$B$35,0)</f>
        <v>0</v>
      </c>
      <c r="N11" s="10">
        <f t="shared" si="7"/>
        <v>0</v>
      </c>
      <c r="O11" s="10">
        <f>N11*Assumptions!$B$70</f>
        <v>0</v>
      </c>
      <c r="P11" s="10">
        <f t="shared" si="3"/>
        <v>0</v>
      </c>
      <c r="Q11" s="10">
        <f t="shared" si="4"/>
        <v>0</v>
      </c>
      <c r="R11" s="10">
        <f t="shared" si="5"/>
        <v>-31518078.244895093</v>
      </c>
      <c r="S11" s="10">
        <f t="shared" si="8"/>
        <v>-219848792.60043791</v>
      </c>
      <c r="T11" s="10">
        <f t="shared" si="6"/>
        <v>-31518078.244895093</v>
      </c>
      <c r="U11" s="1">
        <f>IF(AND(A11&gt;Assumptions!$B$39,A11&lt;=Assumptions!$B$39+Assumptions!$B$40),(A11-Assumptions!$B$39)*(Assumptions!$B$40+1-(A11-Assumptions!$B$39)),0)</f>
        <v>60</v>
      </c>
      <c r="V11" s="10">
        <f>R11*Assumptions!$B$45+IF(A11=Assumptions!$B$69,('Returns &amp; Waterfall'!$B$34-'Returns &amp; Waterfall'!$B$29*Assumptions!$B$45),0)</f>
        <v>-28366270.420405585</v>
      </c>
      <c r="W11" s="10">
        <f>R11*Assumptions!$B$46-IF(A11=Assumptions!$B$69,('Returns &amp; Waterfall'!$B$34-'Returns &amp; Waterfall'!$B$29*Assumptions!$B$45),0)</f>
        <v>-3151807.8244895088</v>
      </c>
      <c r="X11" s="10">
        <f>R11-IF(A11=Assumptions!$B$69,'Returns &amp; Waterfall'!$B$45,0)</f>
        <v>-31518078.244895093</v>
      </c>
    </row>
    <row r="12" spans="1:24">
      <c r="A12" s="1">
        <v>8</v>
      </c>
      <c r="B12" s="10">
        <f>Assumptions!$B$61*U12/$U$2*(1+Assumptions!$B$89)^MAX(0,A12-Assumptions!$B$39)</f>
        <v>37626314.356551647</v>
      </c>
      <c r="C12" s="10">
        <f>Assumptions!$B$67*U12/$U$2*(1+Assumptions!$B$89)^MAX(0,A12-Assumptions!$B$39)</f>
        <v>7223838.7702965131</v>
      </c>
      <c r="D12" s="10">
        <f>Assumptions!$B$30*Sales!$P$62*G12/Assumptions!$B$54+Sales!V33</f>
        <v>6330519.3569576424</v>
      </c>
      <c r="E12" s="10">
        <f>IF(A12=0,Assumptions!$B$66,0)</f>
        <v>0</v>
      </c>
      <c r="F12" s="10">
        <f t="shared" si="0"/>
        <v>51180672.483805805</v>
      </c>
      <c r="G12" s="5">
        <f>Sales!H33</f>
        <v>10</v>
      </c>
      <c r="H12" s="5">
        <f>Sales!I33</f>
        <v>22</v>
      </c>
      <c r="I12" s="10">
        <f>Sales!R33</f>
        <v>16774812.359999996</v>
      </c>
      <c r="J12" s="10">
        <f>Sales!S33+Sales!T33</f>
        <v>0</v>
      </c>
      <c r="K12" s="10">
        <f t="shared" si="1"/>
        <v>16774812.359999996</v>
      </c>
      <c r="L12" s="10">
        <f t="shared" si="2"/>
        <v>51180672.483805805</v>
      </c>
      <c r="M12" s="10">
        <f>IF(H12/Assumptions!$B$54&gt;=Assumptions!$B$78,F12*Assumptions!$B$35,0)</f>
        <v>0</v>
      </c>
      <c r="N12" s="10">
        <f t="shared" si="7"/>
        <v>0</v>
      </c>
      <c r="O12" s="10">
        <f>N12*Assumptions!$B$70</f>
        <v>0</v>
      </c>
      <c r="P12" s="10">
        <f t="shared" si="3"/>
        <v>0</v>
      </c>
      <c r="Q12" s="10">
        <f t="shared" si="4"/>
        <v>0</v>
      </c>
      <c r="R12" s="10">
        <f t="shared" si="5"/>
        <v>-34405860.123805806</v>
      </c>
      <c r="S12" s="10">
        <f t="shared" si="8"/>
        <v>-254254652.7242437</v>
      </c>
      <c r="T12" s="10">
        <f t="shared" si="6"/>
        <v>-34405860.123805806</v>
      </c>
      <c r="U12" s="1">
        <f>IF(AND(A12&gt;Assumptions!$B$39,A12&lt;=Assumptions!$B$39+Assumptions!$B$40),(A12-Assumptions!$B$39)*(Assumptions!$B$40+1-(A12-Assumptions!$B$39)),0)</f>
        <v>70</v>
      </c>
      <c r="V12" s="10">
        <f>R12*Assumptions!$B$45+IF(A12=Assumptions!$B$69,('Returns &amp; Waterfall'!$B$34-'Returns &amp; Waterfall'!$B$29*Assumptions!$B$45),0)</f>
        <v>-30965274.111425225</v>
      </c>
      <c r="W12" s="10">
        <f>R12*Assumptions!$B$46-IF(A12=Assumptions!$B$69,('Returns &amp; Waterfall'!$B$34-'Returns &amp; Waterfall'!$B$29*Assumptions!$B$45),0)</f>
        <v>-3440586.01238058</v>
      </c>
      <c r="X12" s="10">
        <f>R12-IF(A12=Assumptions!$B$69,'Returns &amp; Waterfall'!$B$45,0)</f>
        <v>-34405860.123805806</v>
      </c>
    </row>
    <row r="13" spans="1:24">
      <c r="A13" s="1">
        <v>9</v>
      </c>
      <c r="B13" s="10">
        <f>Assumptions!$B$61*U13/$U$2*(1+Assumptions!$B$89)^MAX(0,A13-Assumptions!$B$39)</f>
        <v>42097278.175192736</v>
      </c>
      <c r="C13" s="10">
        <f>Assumptions!$B$67*U13/$U$2*(1+Assumptions!$B$89)^MAX(0,A13-Assumptions!$B$39)</f>
        <v>8082214.6789129423</v>
      </c>
      <c r="D13" s="10">
        <f>Assumptions!$B$30*Sales!$P$62*G13/Assumptions!$B$54+Sales!V34</f>
        <v>7795316.8322449345</v>
      </c>
      <c r="E13" s="10">
        <f>IF(A13=0,Assumptions!$B$66,0)</f>
        <v>0</v>
      </c>
      <c r="F13" s="10">
        <f t="shared" si="0"/>
        <v>57974809.686350614</v>
      </c>
      <c r="G13" s="5">
        <f>Sales!H34</f>
        <v>13</v>
      </c>
      <c r="H13" s="5">
        <f>Sales!I34</f>
        <v>35</v>
      </c>
      <c r="I13" s="10">
        <f>Sales!R34</f>
        <v>19201106.077199996</v>
      </c>
      <c r="J13" s="10">
        <f>Sales!S34+Sales!T34</f>
        <v>0</v>
      </c>
      <c r="K13" s="10">
        <f t="shared" si="1"/>
        <v>19201106.077199996</v>
      </c>
      <c r="L13" s="10">
        <f t="shared" si="2"/>
        <v>23189923.874540247</v>
      </c>
      <c r="M13" s="10">
        <f>IF(H13/Assumptions!$B$54&gt;=Assumptions!$B$78,F13*Assumptions!$B$35,0)</f>
        <v>34784885.811810367</v>
      </c>
      <c r="N13" s="10">
        <f t="shared" si="7"/>
        <v>0</v>
      </c>
      <c r="O13" s="10">
        <f>N13*Assumptions!$B$70</f>
        <v>0</v>
      </c>
      <c r="P13" s="10">
        <f t="shared" si="3"/>
        <v>19201106.077199996</v>
      </c>
      <c r="Q13" s="10">
        <f t="shared" si="4"/>
        <v>15583779.734610371</v>
      </c>
      <c r="R13" s="10">
        <f t="shared" si="5"/>
        <v>-23189923.874540247</v>
      </c>
      <c r="S13" s="10">
        <f t="shared" si="8"/>
        <v>-277444576.59878397</v>
      </c>
      <c r="T13" s="10">
        <f t="shared" si="6"/>
        <v>-38773703.609150618</v>
      </c>
      <c r="U13" s="1">
        <f>IF(AND(A13&gt;Assumptions!$B$39,A13&lt;=Assumptions!$B$39+Assumptions!$B$40),(A13-Assumptions!$B$39)*(Assumptions!$B$40+1-(A13-Assumptions!$B$39)),0)</f>
        <v>78</v>
      </c>
      <c r="V13" s="10">
        <f>R13*Assumptions!$B$45+IF(A13=Assumptions!$B$69,('Returns &amp; Waterfall'!$B$34-'Returns &amp; Waterfall'!$B$29*Assumptions!$B$45),0)</f>
        <v>-20870931.487086222</v>
      </c>
      <c r="W13" s="10">
        <f>R13*Assumptions!$B$46-IF(A13=Assumptions!$B$69,('Returns &amp; Waterfall'!$B$34-'Returns &amp; Waterfall'!$B$29*Assumptions!$B$45),0)</f>
        <v>-2318992.3874540241</v>
      </c>
      <c r="X13" s="10">
        <f>R13-IF(A13=Assumptions!$B$69,'Returns &amp; Waterfall'!$B$45,0)</f>
        <v>-23189923.874540247</v>
      </c>
    </row>
    <row r="14" spans="1:24">
      <c r="A14" s="1">
        <v>10</v>
      </c>
      <c r="B14" s="10">
        <f>Assumptions!$B$61*U14/$U$2*(1+Assumptions!$B$89)^MAX(0,A14-Assumptions!$B$39)</f>
        <v>45520232.904928006</v>
      </c>
      <c r="C14" s="10">
        <f>Assumptions!$B$67*U14/$U$2*(1+Assumptions!$B$89)^MAX(0,A14-Assumptions!$B$39)</f>
        <v>8739384.3621116877</v>
      </c>
      <c r="D14" s="10">
        <f>Assumptions!$B$30*Sales!$P$62*G14/Assumptions!$B$54+Sales!V35</f>
        <v>8893789.4836716969</v>
      </c>
      <c r="E14" s="10">
        <f>IF(A14=0,Assumptions!$B$66,0)</f>
        <v>0</v>
      </c>
      <c r="F14" s="10">
        <f t="shared" si="0"/>
        <v>63153406.750711389</v>
      </c>
      <c r="G14" s="5">
        <f>Sales!H35</f>
        <v>14</v>
      </c>
      <c r="H14" s="5">
        <f>Sales!I35</f>
        <v>49</v>
      </c>
      <c r="I14" s="10">
        <f>Sales!R35</f>
        <v>23671111.607585993</v>
      </c>
      <c r="J14" s="10">
        <f>Sales!S35+Sales!T35</f>
        <v>176282837.83783394</v>
      </c>
      <c r="K14" s="10">
        <f t="shared" si="1"/>
        <v>199953949.44541994</v>
      </c>
      <c r="L14" s="10">
        <f t="shared" si="2"/>
        <v>25261362.700284556</v>
      </c>
      <c r="M14" s="10">
        <f>IF(H14/Assumptions!$B$54&gt;=Assumptions!$B$78,F14*Assumptions!$B$35,0)</f>
        <v>37892044.050426833</v>
      </c>
      <c r="N14" s="10">
        <f t="shared" si="7"/>
        <v>15583779.734610371</v>
      </c>
      <c r="O14" s="10">
        <f>N14*Assumptions!$B$70</f>
        <v>207783.72979480497</v>
      </c>
      <c r="P14" s="10">
        <f t="shared" si="3"/>
        <v>53683607.514832012</v>
      </c>
      <c r="Q14" s="10">
        <f t="shared" si="4"/>
        <v>0</v>
      </c>
      <c r="R14" s="10">
        <f t="shared" si="5"/>
        <v>121008979.23030336</v>
      </c>
      <c r="S14" s="10">
        <f t="shared" si="8"/>
        <v>-156435597.36848062</v>
      </c>
      <c r="T14" s="10">
        <f t="shared" si="6"/>
        <v>136800542.69470856</v>
      </c>
      <c r="U14" s="1">
        <f>IF(AND(A14&gt;Assumptions!$B$39,A14&lt;=Assumptions!$B$39+Assumptions!$B$40),(A14-Assumptions!$B$39)*(Assumptions!$B$40+1-(A14-Assumptions!$B$39)),0)</f>
        <v>84</v>
      </c>
      <c r="V14" s="10">
        <f>R14*Assumptions!$B$45+IF(A14=Assumptions!$B$69,('Returns &amp; Waterfall'!$B$34-'Returns &amp; Waterfall'!$B$29*Assumptions!$B$45),0)</f>
        <v>108908081.30727303</v>
      </c>
      <c r="W14" s="10">
        <f>R14*Assumptions!$B$46-IF(A14=Assumptions!$B$69,('Returns &amp; Waterfall'!$B$34-'Returns &amp; Waterfall'!$B$29*Assumptions!$B$45),0)</f>
        <v>12100897.923030334</v>
      </c>
      <c r="X14" s="10">
        <f>R14-IF(A14=Assumptions!$B$69,'Returns &amp; Waterfall'!$B$45,0)</f>
        <v>121008979.23030336</v>
      </c>
    </row>
    <row r="15" spans="1:24">
      <c r="A15" s="1">
        <v>11</v>
      </c>
      <c r="B15" s="10">
        <f>Assumptions!$B$61*U15/$U$2*(1+Assumptions!$B$89)^MAX(0,A15-Assumptions!$B$39)</f>
        <v>47882149.300273821</v>
      </c>
      <c r="C15" s="10">
        <f>Assumptions!$B$67*U15/$U$2*(1+Assumptions!$B$89)^MAX(0,A15-Assumptions!$B$39)</f>
        <v>9192846.3479765672</v>
      </c>
      <c r="D15" s="10">
        <f>Assumptions!$B$30*Sales!$P$62*G15/Assumptions!$B$54+Sales!V36</f>
        <v>8932301.875011351</v>
      </c>
      <c r="E15" s="10">
        <f>IF(A15=0,Assumptions!$B$66,0)</f>
        <v>0</v>
      </c>
      <c r="F15" s="10">
        <f t="shared" si="0"/>
        <v>66007297.523261741</v>
      </c>
      <c r="G15" s="5">
        <f>Sales!H36</f>
        <v>14</v>
      </c>
      <c r="H15" s="5">
        <f>Sales!I36</f>
        <v>63</v>
      </c>
      <c r="I15" s="10">
        <f>Sales!R36</f>
        <v>23902185.955623917</v>
      </c>
      <c r="J15" s="10">
        <f>Sales!S36+Sales!T36</f>
        <v>55771767.229789138</v>
      </c>
      <c r="K15" s="10">
        <f t="shared" si="1"/>
        <v>79673953.185413063</v>
      </c>
      <c r="L15" s="10">
        <f t="shared" si="2"/>
        <v>26402919.009304695</v>
      </c>
      <c r="M15" s="10">
        <f>IF(H15/Assumptions!$B$54&gt;=Assumptions!$B$78,F15*Assumptions!$B$35,0)</f>
        <v>39604378.513957046</v>
      </c>
      <c r="N15" s="10">
        <f t="shared" si="7"/>
        <v>0</v>
      </c>
      <c r="O15" s="10">
        <f>N15*Assumptions!$B$70</f>
        <v>0</v>
      </c>
      <c r="P15" s="10">
        <f t="shared" si="3"/>
        <v>39604378.513957046</v>
      </c>
      <c r="Q15" s="10">
        <f t="shared" si="4"/>
        <v>0</v>
      </c>
      <c r="R15" s="10">
        <f t="shared" si="5"/>
        <v>13666655.662151322</v>
      </c>
      <c r="S15" s="10">
        <f t="shared" si="8"/>
        <v>-142768941.70632929</v>
      </c>
      <c r="T15" s="10">
        <f t="shared" si="6"/>
        <v>13666655.662151322</v>
      </c>
      <c r="U15" s="1">
        <f>IF(AND(A15&gt;Assumptions!$B$39,A15&lt;=Assumptions!$B$39+Assumptions!$B$40),(A15-Assumptions!$B$39)*(Assumptions!$B$40+1-(A15-Assumptions!$B$39)),0)</f>
        <v>88</v>
      </c>
      <c r="V15" s="10">
        <f>R15*Assumptions!$B$45+IF(A15=Assumptions!$B$69,('Returns &amp; Waterfall'!$B$34-'Returns &amp; Waterfall'!$B$29*Assumptions!$B$45),0)</f>
        <v>12299990.09593619</v>
      </c>
      <c r="W15" s="10">
        <f>R15*Assumptions!$B$46-IF(A15=Assumptions!$B$69,('Returns &amp; Waterfall'!$B$34-'Returns &amp; Waterfall'!$B$29*Assumptions!$B$45),0)</f>
        <v>1366665.5662151319</v>
      </c>
      <c r="X15" s="10">
        <f>R15-IF(A15=Assumptions!$B$69,'Returns &amp; Waterfall'!$B$45,0)</f>
        <v>13666655.662151322</v>
      </c>
    </row>
    <row r="16" spans="1:24">
      <c r="A16" s="1">
        <v>12</v>
      </c>
      <c r="B16" s="10">
        <f>Assumptions!$B$61*U16/$U$2*(1+Assumptions!$B$89)^MAX(0,A16-Assumptions!$B$39)</f>
        <v>49169891.355903685</v>
      </c>
      <c r="C16" s="10">
        <f>Assumptions!$B$67*U16/$U$2*(1+Assumptions!$B$89)^MAX(0,A16-Assumptions!$B$39)</f>
        <v>9440078.6678750627</v>
      </c>
      <c r="D16" s="10">
        <f>Assumptions!$B$30*Sales!$P$62*G16/Assumptions!$B$54+Sales!V37</f>
        <v>9252220.3633077033</v>
      </c>
      <c r="E16" s="10">
        <f>IF(A16=0,Assumptions!$B$66,0)</f>
        <v>0</v>
      </c>
      <c r="F16" s="10">
        <f t="shared" si="0"/>
        <v>67862190.387086451</v>
      </c>
      <c r="G16" s="5">
        <f>Sales!H37</f>
        <v>14</v>
      </c>
      <c r="H16" s="5">
        <f>Sales!I37</f>
        <v>77</v>
      </c>
      <c r="I16" s="10">
        <f>Sales!R37</f>
        <v>25821696.885402031</v>
      </c>
      <c r="J16" s="10">
        <f>Sales!S37+Sales!T37</f>
        <v>60250626.06593807</v>
      </c>
      <c r="K16" s="10">
        <f t="shared" si="1"/>
        <v>86072322.951340109</v>
      </c>
      <c r="L16" s="10">
        <f t="shared" si="2"/>
        <v>27144876.154834583</v>
      </c>
      <c r="M16" s="10">
        <f>IF(H16/Assumptions!$B$54&gt;=Assumptions!$B$78,F16*Assumptions!$B$35,0)</f>
        <v>40717314.232251868</v>
      </c>
      <c r="N16" s="10">
        <f t="shared" si="7"/>
        <v>0</v>
      </c>
      <c r="O16" s="10">
        <f>N16*Assumptions!$B$70</f>
        <v>0</v>
      </c>
      <c r="P16" s="10">
        <f t="shared" si="3"/>
        <v>40717314.232251868</v>
      </c>
      <c r="Q16" s="10">
        <f t="shared" si="4"/>
        <v>0</v>
      </c>
      <c r="R16" s="10">
        <f t="shared" si="5"/>
        <v>18210132.564253658</v>
      </c>
      <c r="S16" s="10">
        <f t="shared" si="8"/>
        <v>-124558809.14207563</v>
      </c>
      <c r="T16" s="10">
        <f t="shared" si="6"/>
        <v>18210132.564253658</v>
      </c>
      <c r="U16" s="1">
        <f>IF(AND(A16&gt;Assumptions!$B$39,A16&lt;=Assumptions!$B$39+Assumptions!$B$40),(A16-Assumptions!$B$39)*(Assumptions!$B$40+1-(A16-Assumptions!$B$39)),0)</f>
        <v>90</v>
      </c>
      <c r="V16" s="10">
        <f>R16*Assumptions!$B$45+IF(A16=Assumptions!$B$69,('Returns &amp; Waterfall'!$B$34-'Returns &amp; Waterfall'!$B$29*Assumptions!$B$45),0)</f>
        <v>16389119.307828292</v>
      </c>
      <c r="W16" s="10">
        <f>R16*Assumptions!$B$46-IF(A16=Assumptions!$B$69,('Returns &amp; Waterfall'!$B$34-'Returns &amp; Waterfall'!$B$29*Assumptions!$B$45),0)</f>
        <v>1821013.2564253653</v>
      </c>
      <c r="X16" s="10">
        <f>R16-IF(A16=Assumptions!$B$69,'Returns &amp; Waterfall'!$B$45,0)</f>
        <v>18210132.564253658</v>
      </c>
    </row>
    <row r="17" spans="1:24">
      <c r="A17" s="1">
        <v>13</v>
      </c>
      <c r="B17" s="10">
        <f>Assumptions!$B$61*U17/$U$2*(1+Assumptions!$B$89)^MAX(0,A17-Assumptions!$B$39)</f>
        <v>49370215.579716176</v>
      </c>
      <c r="C17" s="10">
        <f>Assumptions!$B$67*U17/$U$2*(1+Assumptions!$B$89)^MAX(0,A17-Assumptions!$B$39)</f>
        <v>9478538.7168953642</v>
      </c>
      <c r="D17" s="10">
        <f>Assumptions!$B$30*Sales!$P$62*G17/Assumptions!$B$54+Sales!V38</f>
        <v>8167573.2727112165</v>
      </c>
      <c r="E17" s="10">
        <f>IF(A17=0,Assumptions!$B$66,0)</f>
        <v>0</v>
      </c>
      <c r="F17" s="10">
        <f t="shared" si="0"/>
        <v>67016327.569322757</v>
      </c>
      <c r="G17" s="5">
        <f>Sales!H38</f>
        <v>12</v>
      </c>
      <c r="H17" s="5">
        <f>Sales!I38</f>
        <v>89</v>
      </c>
      <c r="I17" s="10">
        <f>Sales!R38</f>
        <v>23555475.098172273</v>
      </c>
      <c r="J17" s="10">
        <f>Sales!S38+Sales!T38</f>
        <v>54962775.229068637</v>
      </c>
      <c r="K17" s="10">
        <f t="shared" si="1"/>
        <v>78518250.327240914</v>
      </c>
      <c r="L17" s="10">
        <f t="shared" si="2"/>
        <v>26806531.027729101</v>
      </c>
      <c r="M17" s="10">
        <f>IF(H17/Assumptions!$B$54&gt;=Assumptions!$B$78,F17*Assumptions!$B$35,0)</f>
        <v>40209796.541593656</v>
      </c>
      <c r="N17" s="10">
        <f t="shared" si="7"/>
        <v>0</v>
      </c>
      <c r="O17" s="10">
        <f>N17*Assumptions!$B$70</f>
        <v>0</v>
      </c>
      <c r="P17" s="10">
        <f t="shared" si="3"/>
        <v>40209796.541593656</v>
      </c>
      <c r="Q17" s="10">
        <f t="shared" si="4"/>
        <v>0</v>
      </c>
      <c r="R17" s="10">
        <f t="shared" si="5"/>
        <v>11501922.757918157</v>
      </c>
      <c r="S17" s="10">
        <f t="shared" si="8"/>
        <v>-113056886.38415748</v>
      </c>
      <c r="T17" s="10">
        <f t="shared" si="6"/>
        <v>11501922.757918157</v>
      </c>
      <c r="U17" s="1">
        <f>IF(AND(A17&gt;Assumptions!$B$39,A17&lt;=Assumptions!$B$39+Assumptions!$B$40),(A17-Assumptions!$B$39)*(Assumptions!$B$40+1-(A17-Assumptions!$B$39)),0)</f>
        <v>90</v>
      </c>
      <c r="V17" s="10">
        <f>R17*Assumptions!$B$45+IF(A17=Assumptions!$B$69,('Returns &amp; Waterfall'!$B$34-'Returns &amp; Waterfall'!$B$29*Assumptions!$B$45),0)</f>
        <v>10351730.482126342</v>
      </c>
      <c r="W17" s="10">
        <f>R17*Assumptions!$B$46-IF(A17=Assumptions!$B$69,('Returns &amp; Waterfall'!$B$34-'Returns &amp; Waterfall'!$B$29*Assumptions!$B$45),0)</f>
        <v>1150192.2757918155</v>
      </c>
      <c r="X17" s="10">
        <f>R17-IF(A17=Assumptions!$B$69,'Returns &amp; Waterfall'!$B$45,0)</f>
        <v>11501922.757918157</v>
      </c>
    </row>
    <row r="18" spans="1:24">
      <c r="A18" s="1">
        <v>14</v>
      </c>
      <c r="B18" s="10">
        <f>Assumptions!$B$61*U18/$U$2*(1+Assumptions!$B$89)^MAX(0,A18-Assumptions!$B$39)</f>
        <v>48469770.261453055</v>
      </c>
      <c r="C18" s="10">
        <f>Assumptions!$B$67*U18/$U$2*(1+Assumptions!$B$89)^MAX(0,A18-Assumptions!$B$39)</f>
        <v>9305663.1134290751</v>
      </c>
      <c r="D18" s="10">
        <f>Assumptions!$B$30*Sales!$P$62*G18/Assumptions!$B$54+Sales!V39</f>
        <v>3303406.5674205208</v>
      </c>
      <c r="E18" s="10">
        <f>IF(A18=0,Assumptions!$B$66,0)</f>
        <v>0</v>
      </c>
      <c r="F18" s="10">
        <f t="shared" si="0"/>
        <v>61078839.942302652</v>
      </c>
      <c r="G18" s="5">
        <f>Sales!H39</f>
        <v>5</v>
      </c>
      <c r="H18" s="5">
        <f>Sales!I39</f>
        <v>94</v>
      </c>
      <c r="I18" s="10">
        <f>Sales!R39</f>
        <v>9216287.5136501957</v>
      </c>
      <c r="J18" s="10">
        <f>Sales!S39+Sales!T39</f>
        <v>21504670.865183789</v>
      </c>
      <c r="K18" s="10">
        <f t="shared" si="1"/>
        <v>30720958.378833987</v>
      </c>
      <c r="L18" s="10">
        <f t="shared" si="2"/>
        <v>24431535.976921059</v>
      </c>
      <c r="M18" s="10">
        <f>IF(H18/Assumptions!$B$54&gt;=Assumptions!$B$78,F18*Assumptions!$B$35,0)</f>
        <v>36647303.965381593</v>
      </c>
      <c r="N18" s="10">
        <f t="shared" si="7"/>
        <v>0</v>
      </c>
      <c r="O18" s="10">
        <f>N18*Assumptions!$B$70</f>
        <v>0</v>
      </c>
      <c r="P18" s="10">
        <f t="shared" si="3"/>
        <v>30720958.378833987</v>
      </c>
      <c r="Q18" s="10">
        <f t="shared" si="4"/>
        <v>5926345.5865476057</v>
      </c>
      <c r="R18" s="10">
        <f t="shared" si="5"/>
        <v>-24431535.976921059</v>
      </c>
      <c r="S18" s="10">
        <f t="shared" si="8"/>
        <v>-137488422.36107853</v>
      </c>
      <c r="T18" s="10">
        <f t="shared" si="6"/>
        <v>-30357881.563468665</v>
      </c>
      <c r="U18" s="1">
        <f>IF(AND(A18&gt;Assumptions!$B$39,A18&lt;=Assumptions!$B$39+Assumptions!$B$40),(A18-Assumptions!$B$39)*(Assumptions!$B$40+1-(A18-Assumptions!$B$39)),0)</f>
        <v>88</v>
      </c>
      <c r="V18" s="10">
        <f>R18*Assumptions!$B$45+IF(A18=Assumptions!$B$69,('Returns &amp; Waterfall'!$B$34-'Returns &amp; Waterfall'!$B$29*Assumptions!$B$45),0)</f>
        <v>-21988382.379228953</v>
      </c>
      <c r="W18" s="10">
        <f>R18*Assumptions!$B$46-IF(A18=Assumptions!$B$69,('Returns &amp; Waterfall'!$B$34-'Returns &amp; Waterfall'!$B$29*Assumptions!$B$45),0)</f>
        <v>-2443153.5976921055</v>
      </c>
      <c r="X18" s="10">
        <f>R18-IF(A18=Assumptions!$B$69,'Returns &amp; Waterfall'!$B$45,0)</f>
        <v>-24431535.976921059</v>
      </c>
    </row>
    <row r="19" spans="1:24">
      <c r="A19" s="1">
        <v>15</v>
      </c>
      <c r="B19" s="10">
        <f>Assumptions!$B$61*U19/$U$2*(1+Assumptions!$B$89)^MAX(0,A19-Assumptions!$B$39)</f>
        <v>46455094.736842163</v>
      </c>
      <c r="C19" s="10">
        <f>Assumptions!$B$67*U19/$U$2*(1+Assumptions!$B$89)^MAX(0,A19-Assumptions!$B$39)</f>
        <v>8918867.5578947477</v>
      </c>
      <c r="D19" s="10">
        <f>Assumptions!$B$30*Sales!$P$62*G19/Assumptions!$B$54+Sales!V40</f>
        <v>1084436.5297167278</v>
      </c>
      <c r="E19" s="10">
        <f>IF(A19=0,Assumptions!$B$66,0)</f>
        <v>0</v>
      </c>
      <c r="F19" s="10">
        <f t="shared" si="0"/>
        <v>56458398.824453637</v>
      </c>
      <c r="G19" s="5">
        <f>Sales!H40</f>
        <v>1</v>
      </c>
      <c r="H19" s="5">
        <f>Sales!I40</f>
        <v>95</v>
      </c>
      <c r="I19" s="10">
        <f>Sales!R40</f>
        <v>4385788.8001257805</v>
      </c>
      <c r="J19" s="10">
        <f>Sales!S40+Sales!T40</f>
        <v>10233507.200293489</v>
      </c>
      <c r="K19" s="10">
        <f t="shared" si="1"/>
        <v>14619296.00041927</v>
      </c>
      <c r="L19" s="10">
        <f t="shared" si="2"/>
        <v>22583359.529781453</v>
      </c>
      <c r="M19" s="10">
        <f>IF(H19/Assumptions!$B$54&gt;=Assumptions!$B$78,F19*Assumptions!$B$35,0)</f>
        <v>33875039.294672184</v>
      </c>
      <c r="N19" s="10">
        <f t="shared" si="7"/>
        <v>5926345.5865476057</v>
      </c>
      <c r="O19" s="10">
        <f>N19*Assumptions!$B$70</f>
        <v>79017.941153968088</v>
      </c>
      <c r="P19" s="10">
        <f t="shared" si="3"/>
        <v>14619296.00041927</v>
      </c>
      <c r="Q19" s="10">
        <f t="shared" si="4"/>
        <v>25261106.821954485</v>
      </c>
      <c r="R19" s="10">
        <f t="shared" si="5"/>
        <v>-22583359.529781453</v>
      </c>
      <c r="S19" s="10">
        <f t="shared" si="8"/>
        <v>-160071781.89085999</v>
      </c>
      <c r="T19" s="10">
        <f t="shared" si="6"/>
        <v>-41839102.824034363</v>
      </c>
      <c r="U19" s="1">
        <f>IF(AND(A19&gt;Assumptions!$B$39,A19&lt;=Assumptions!$B$39+Assumptions!$B$40),(A19-Assumptions!$B$39)*(Assumptions!$B$40+1-(A19-Assumptions!$B$39)),0)</f>
        <v>84</v>
      </c>
      <c r="V19" s="10">
        <f>R19*Assumptions!$B$45+IF(A19=Assumptions!$B$69,('Returns &amp; Waterfall'!$B$34-'Returns &amp; Waterfall'!$B$29*Assumptions!$B$45),0)</f>
        <v>-20325023.576803308</v>
      </c>
      <c r="W19" s="10">
        <f>R19*Assumptions!$B$46-IF(A19=Assumptions!$B$69,('Returns &amp; Waterfall'!$B$34-'Returns &amp; Waterfall'!$B$29*Assumptions!$B$45),0)</f>
        <v>-2258335.9529781449</v>
      </c>
      <c r="X19" s="10">
        <f>R19-IF(A19=Assumptions!$B$69,'Returns &amp; Waterfall'!$B$45,0)</f>
        <v>-22583359.529781453</v>
      </c>
    </row>
    <row r="20" spans="1:24">
      <c r="A20" s="1">
        <v>16</v>
      </c>
      <c r="B20" s="10">
        <f>Assumptions!$B$61*U20/$U$2*(1+Assumptions!$B$89)^MAX(0,A20-Assumptions!$B$39)</f>
        <v>43312618.647239648</v>
      </c>
      <c r="C20" s="10">
        <f>Assumptions!$B$67*U20/$U$2*(1+Assumptions!$B$89)^MAX(0,A20-Assumptions!$B$39)</f>
        <v>8315546.69059732</v>
      </c>
      <c r="D20" s="10">
        <f>Assumptions!$B$30*Sales!$P$62*G20/Assumptions!$B$54+Sales!V41</f>
        <v>303011.2687617187</v>
      </c>
      <c r="E20" s="10">
        <f>IF(A20=0,Assumptions!$B$66,0)</f>
        <v>0</v>
      </c>
      <c r="F20" s="10">
        <f t="shared" si="0"/>
        <v>51931176.606598683</v>
      </c>
      <c r="G20" s="5">
        <f>Sales!H41</f>
        <v>0</v>
      </c>
      <c r="H20" s="5">
        <f>Sales!I41</f>
        <v>95</v>
      </c>
      <c r="I20" s="10">
        <f>Sales!R41</f>
        <v>1818067.6125703121</v>
      </c>
      <c r="J20" s="10">
        <f>Sales!S41+Sales!T41</f>
        <v>4242157.762664061</v>
      </c>
      <c r="K20" s="10">
        <f t="shared" si="1"/>
        <v>6060225.3752343729</v>
      </c>
      <c r="L20" s="10">
        <f t="shared" si="2"/>
        <v>20772470.642639473</v>
      </c>
      <c r="M20" s="10">
        <f>IF(H20/Assumptions!$B$54&gt;=Assumptions!$B$78,F20*Assumptions!$B$35,0)</f>
        <v>31158705.96395921</v>
      </c>
      <c r="N20" s="10">
        <f t="shared" si="7"/>
        <v>25261106.821954485</v>
      </c>
      <c r="O20" s="10">
        <f>N20*Assumptions!$B$70</f>
        <v>336814.75762605981</v>
      </c>
      <c r="P20" s="10">
        <f t="shared" si="3"/>
        <v>6060225.3752343729</v>
      </c>
      <c r="Q20" s="10">
        <f t="shared" si="4"/>
        <v>50696402.168305375</v>
      </c>
      <c r="R20" s="10">
        <f t="shared" si="5"/>
        <v>-20772470.642639473</v>
      </c>
      <c r="S20" s="10">
        <f t="shared" si="8"/>
        <v>-180844252.53349948</v>
      </c>
      <c r="T20" s="10">
        <f t="shared" si="6"/>
        <v>-45870951.23136431</v>
      </c>
      <c r="U20" s="1">
        <f>IF(AND(A20&gt;Assumptions!$B$39,A20&lt;=Assumptions!$B$39+Assumptions!$B$40),(A20-Assumptions!$B$39)*(Assumptions!$B$40+1-(A20-Assumptions!$B$39)),0)</f>
        <v>78</v>
      </c>
      <c r="V20" s="10">
        <f>R20*Assumptions!$B$45+IF(A20=Assumptions!$B$69,('Returns &amp; Waterfall'!$B$34-'Returns &amp; Waterfall'!$B$29*Assumptions!$B$45),0)</f>
        <v>-18695223.578375526</v>
      </c>
      <c r="W20" s="10">
        <f>R20*Assumptions!$B$46-IF(A20=Assumptions!$B$69,('Returns &amp; Waterfall'!$B$34-'Returns &amp; Waterfall'!$B$29*Assumptions!$B$45),0)</f>
        <v>-2077247.0642639468</v>
      </c>
      <c r="X20" s="10">
        <f>R20-IF(A20=Assumptions!$B$69,'Returns &amp; Waterfall'!$B$45,0)</f>
        <v>-20772470.642639473</v>
      </c>
    </row>
    <row r="21" spans="1:24">
      <c r="A21" s="1">
        <v>17</v>
      </c>
      <c r="B21" s="10">
        <f>Assumptions!$B$61*U21/$U$2*(1+Assumptions!$B$89)^MAX(0,A21-Assumptions!$B$39)</f>
        <v>39028661.194745801</v>
      </c>
      <c r="C21" s="10">
        <f>Assumptions!$B$67*U21/$U$2*(1+Assumptions!$B$89)^MAX(0,A21-Assumptions!$B$39)</f>
        <v>7493073.9487185441</v>
      </c>
      <c r="D21" s="10">
        <f>Assumptions!$B$30*Sales!$P$62*G21/Assumptions!$B$54+Sales!V42</f>
        <v>303768.79693362297</v>
      </c>
      <c r="E21" s="10">
        <f>IF(A21=0,Assumptions!$B$66,0)</f>
        <v>0</v>
      </c>
      <c r="F21" s="10">
        <f t="shared" si="0"/>
        <v>46825503.940397963</v>
      </c>
      <c r="G21" s="5">
        <f>Sales!H42</f>
        <v>0</v>
      </c>
      <c r="H21" s="5">
        <f>Sales!I42</f>
        <v>95</v>
      </c>
      <c r="I21" s="10">
        <f>Sales!R42</f>
        <v>1822612.781601738</v>
      </c>
      <c r="J21" s="10">
        <f>Sales!S42+Sales!T42</f>
        <v>4252763.1570707215</v>
      </c>
      <c r="K21" s="10">
        <f t="shared" si="1"/>
        <v>6075375.9386724597</v>
      </c>
      <c r="L21" s="10">
        <f t="shared" si="2"/>
        <v>18730201.576159187</v>
      </c>
      <c r="M21" s="10">
        <f>IF(H21/Assumptions!$B$54&gt;=Assumptions!$B$78,F21*Assumptions!$B$35,0)</f>
        <v>28095302.364238776</v>
      </c>
      <c r="N21" s="10">
        <f t="shared" si="7"/>
        <v>50696402.168305375</v>
      </c>
      <c r="O21" s="10">
        <f>N21*Assumptions!$B$70</f>
        <v>675952.02891073842</v>
      </c>
      <c r="P21" s="10">
        <f t="shared" si="3"/>
        <v>6075375.9386724597</v>
      </c>
      <c r="Q21" s="10">
        <f t="shared" si="4"/>
        <v>73392280.622782439</v>
      </c>
      <c r="R21" s="10">
        <f t="shared" si="5"/>
        <v>-18730201.576159187</v>
      </c>
      <c r="S21" s="10">
        <f t="shared" si="8"/>
        <v>-199574454.10965866</v>
      </c>
      <c r="T21" s="10">
        <f t="shared" si="6"/>
        <v>-40750128.001725502</v>
      </c>
      <c r="U21" s="1">
        <f>IF(AND(A21&gt;Assumptions!$B$39,A21&lt;=Assumptions!$B$39+Assumptions!$B$40),(A21-Assumptions!$B$39)*(Assumptions!$B$40+1-(A21-Assumptions!$B$39)),0)</f>
        <v>70</v>
      </c>
      <c r="V21" s="10">
        <f>R21*Assumptions!$B$45+IF(A21=Assumptions!$B$69,('Returns &amp; Waterfall'!$B$34-'Returns &amp; Waterfall'!$B$29*Assumptions!$B$45),0)</f>
        <v>-16857181.418543268</v>
      </c>
      <c r="W21" s="10">
        <f>R21*Assumptions!$B$46-IF(A21=Assumptions!$B$69,('Returns &amp; Waterfall'!$B$34-'Returns &amp; Waterfall'!$B$29*Assumptions!$B$45),0)</f>
        <v>-1873020.1576159182</v>
      </c>
      <c r="X21" s="10">
        <f>R21-IF(A21=Assumptions!$B$69,'Returns &amp; Waterfall'!$B$45,0)</f>
        <v>-18730201.576159187</v>
      </c>
    </row>
    <row r="22" spans="1:24">
      <c r="A22" s="1">
        <v>18</v>
      </c>
      <c r="B22" s="10">
        <f>Assumptions!$B$61*U22/$U$2*(1+Assumptions!$B$89)^MAX(0,A22-Assumptions!$B$39)</f>
        <v>33589430.392768517</v>
      </c>
      <c r="C22" s="10">
        <f>Assumptions!$B$67*U22/$U$2*(1+Assumptions!$B$89)^MAX(0,A22-Assumptions!$B$39)</f>
        <v>6448801.4224334182</v>
      </c>
      <c r="D22" s="10">
        <f>Assumptions!$B$30*Sales!$P$62*G22/Assumptions!$B$54+Sales!V43</f>
        <v>304528.21892595699</v>
      </c>
      <c r="E22" s="10">
        <f>IF(A22=0,Assumptions!$B$66,0)</f>
        <v>0</v>
      </c>
      <c r="F22" s="10">
        <f t="shared" si="0"/>
        <v>40342760.034127899</v>
      </c>
      <c r="G22" s="5">
        <f>Sales!H43</f>
        <v>0</v>
      </c>
      <c r="H22" s="5">
        <f>Sales!I43</f>
        <v>95</v>
      </c>
      <c r="I22" s="10">
        <f>Sales!R43</f>
        <v>1827169.3135557417</v>
      </c>
      <c r="J22" s="10">
        <f>Sales!S43+Sales!T43</f>
        <v>4263395.0649633976</v>
      </c>
      <c r="K22" s="10">
        <f t="shared" si="1"/>
        <v>6090564.3785191393</v>
      </c>
      <c r="L22" s="10">
        <f t="shared" si="2"/>
        <v>16137104.013651159</v>
      </c>
      <c r="M22" s="10">
        <f>IF(H22/Assumptions!$B$54&gt;=Assumptions!$B$78,F22*Assumptions!$B$35,0)</f>
        <v>24205656.02047674</v>
      </c>
      <c r="N22" s="10">
        <f t="shared" si="7"/>
        <v>73392280.622782439</v>
      </c>
      <c r="O22" s="10">
        <f>N22*Assumptions!$B$70</f>
        <v>978563.7416370993</v>
      </c>
      <c r="P22" s="10">
        <f t="shared" si="3"/>
        <v>6090564.3785191393</v>
      </c>
      <c r="Q22" s="10">
        <f t="shared" si="4"/>
        <v>92485936.006377146</v>
      </c>
      <c r="R22" s="10">
        <f t="shared" si="5"/>
        <v>-16137104.013651159</v>
      </c>
      <c r="S22" s="10">
        <f t="shared" si="8"/>
        <v>-215711558.12330982</v>
      </c>
      <c r="T22" s="10">
        <f t="shared" si="6"/>
        <v>-34252195.655608758</v>
      </c>
      <c r="U22" s="1">
        <f>IF(AND(A22&gt;Assumptions!$B$39,A22&lt;=Assumptions!$B$39+Assumptions!$B$40),(A22-Assumptions!$B$39)*(Assumptions!$B$40+1-(A22-Assumptions!$B$39)),0)</f>
        <v>60</v>
      </c>
      <c r="V22" s="10">
        <f>R22*Assumptions!$B$45+IF(A22=Assumptions!$B$69,('Returns &amp; Waterfall'!$B$34-'Returns &amp; Waterfall'!$B$29*Assumptions!$B$45),0)</f>
        <v>-14523393.612286042</v>
      </c>
      <c r="W22" s="10">
        <f>R22*Assumptions!$B$46-IF(A22=Assumptions!$B$69,('Returns &amp; Waterfall'!$B$34-'Returns &amp; Waterfall'!$B$29*Assumptions!$B$45),0)</f>
        <v>-1613710.4013651155</v>
      </c>
      <c r="X22" s="10">
        <f>R22-IF(A22=Assumptions!$B$69,'Returns &amp; Waterfall'!$B$45,0)</f>
        <v>-16137104.013651159</v>
      </c>
    </row>
    <row r="23" spans="1:24">
      <c r="A23" s="1">
        <v>19</v>
      </c>
      <c r="B23" s="10">
        <f>Assumptions!$B$61*U23/$U$2*(1+Assumptions!$B$89)^MAX(0,A23-Assumptions!$B$39)</f>
        <v>26981022.31200872</v>
      </c>
      <c r="C23" s="10">
        <f>Assumptions!$B$67*U23/$U$2*(1+Assumptions!$B$89)^MAX(0,A23-Assumptions!$B$39)</f>
        <v>5180059.710147664</v>
      </c>
      <c r="D23" s="10">
        <f>Assumptions!$B$30*Sales!$P$62*G23/Assumptions!$B$54+Sales!V44</f>
        <v>0</v>
      </c>
      <c r="E23" s="10">
        <f>IF(A23=0,Assumptions!$B$66,0)</f>
        <v>0</v>
      </c>
      <c r="F23" s="10">
        <f t="shared" si="0"/>
        <v>32161082.022156384</v>
      </c>
      <c r="G23" s="5">
        <f>Sales!H44</f>
        <v>0</v>
      </c>
      <c r="H23" s="5">
        <f>Sales!I44</f>
        <v>95</v>
      </c>
      <c r="I23" s="10">
        <f>Sales!R44</f>
        <v>0</v>
      </c>
      <c r="J23" s="10">
        <f>Sales!S44+Sales!T44</f>
        <v>0</v>
      </c>
      <c r="K23" s="10">
        <f t="shared" si="1"/>
        <v>0</v>
      </c>
      <c r="L23" s="10">
        <f t="shared" si="2"/>
        <v>12864432.808862556</v>
      </c>
      <c r="M23" s="10">
        <f>IF(H23/Assumptions!$B$54&gt;=Assumptions!$B$78,F23*Assumptions!$B$35,0)</f>
        <v>19296649.213293828</v>
      </c>
      <c r="N23" s="10">
        <f t="shared" si="7"/>
        <v>92485936.006377146</v>
      </c>
      <c r="O23" s="10">
        <f>N23*Assumptions!$B$70</f>
        <v>1233145.8134183621</v>
      </c>
      <c r="P23" s="10">
        <f t="shared" si="3"/>
        <v>0</v>
      </c>
      <c r="Q23" s="10">
        <f t="shared" si="4"/>
        <v>113015731.03308934</v>
      </c>
      <c r="R23" s="10">
        <f t="shared" si="5"/>
        <v>-12864432.808862556</v>
      </c>
      <c r="S23" s="10">
        <f t="shared" si="8"/>
        <v>-228575990.93217239</v>
      </c>
      <c r="T23" s="10">
        <f t="shared" si="6"/>
        <v>-32161082.022156384</v>
      </c>
      <c r="U23" s="1">
        <f>IF(AND(A23&gt;Assumptions!$B$39,A23&lt;=Assumptions!$B$39+Assumptions!$B$40),(A23-Assumptions!$B$39)*(Assumptions!$B$40+1-(A23-Assumptions!$B$39)),0)</f>
        <v>48</v>
      </c>
      <c r="V23" s="10">
        <f>R23*Assumptions!$B$45+IF(A23=Assumptions!$B$69,('Returns &amp; Waterfall'!$B$34-'Returns &amp; Waterfall'!$B$29*Assumptions!$B$45),0)</f>
        <v>-11577989.527976301</v>
      </c>
      <c r="W23" s="10">
        <f>R23*Assumptions!$B$46-IF(A23=Assumptions!$B$69,('Returns &amp; Waterfall'!$B$34-'Returns &amp; Waterfall'!$B$29*Assumptions!$B$45),0)</f>
        <v>-1286443.2808862552</v>
      </c>
      <c r="X23" s="10">
        <f>R23-IF(A23=Assumptions!$B$69,'Returns &amp; Waterfall'!$B$45,0)</f>
        <v>-12864432.808862556</v>
      </c>
    </row>
    <row r="24" spans="1:24">
      <c r="A24" s="1">
        <v>20</v>
      </c>
      <c r="B24" s="10">
        <f>Assumptions!$B$61*U24/$U$2*(1+Assumptions!$B$89)^MAX(0,A24-Assumptions!$B$39)</f>
        <v>19189420.321841363</v>
      </c>
      <c r="C24" s="10">
        <f>Assumptions!$B$67*U24/$U$2*(1+Assumptions!$B$89)^MAX(0,A24-Assumptions!$B$39)</f>
        <v>3684157.7728512259</v>
      </c>
      <c r="D24" s="10">
        <f>Assumptions!$B$30*Sales!$P$62*G24/Assumptions!$B$54+Sales!V45</f>
        <v>0</v>
      </c>
      <c r="E24" s="10">
        <f>IF(A24=0,Assumptions!$B$66,0)</f>
        <v>0</v>
      </c>
      <c r="F24" s="10">
        <f t="shared" si="0"/>
        <v>22873578.094692588</v>
      </c>
      <c r="G24" s="5">
        <f>Sales!H45</f>
        <v>0</v>
      </c>
      <c r="H24" s="5">
        <f>Sales!I45</f>
        <v>95</v>
      </c>
      <c r="I24" s="10">
        <f>Sales!R45</f>
        <v>0</v>
      </c>
      <c r="J24" s="10">
        <f>Sales!S45+Sales!T45</f>
        <v>0</v>
      </c>
      <c r="K24" s="10">
        <f t="shared" si="1"/>
        <v>0</v>
      </c>
      <c r="L24" s="10">
        <f t="shared" si="2"/>
        <v>9149431.2378770355</v>
      </c>
      <c r="M24" s="10">
        <f>IF(H24/Assumptions!$B$54&gt;=Assumptions!$B$78,F24*Assumptions!$B$35,0)</f>
        <v>13724146.856815552</v>
      </c>
      <c r="N24" s="10">
        <f t="shared" si="7"/>
        <v>113015731.03308934</v>
      </c>
      <c r="O24" s="10">
        <f>N24*Assumptions!$B$70</f>
        <v>1506876.4137745246</v>
      </c>
      <c r="P24" s="10">
        <f t="shared" si="3"/>
        <v>0</v>
      </c>
      <c r="Q24" s="10">
        <f t="shared" si="4"/>
        <v>128246754.30367941</v>
      </c>
      <c r="R24" s="10">
        <f t="shared" si="5"/>
        <v>-9149431.2378770355</v>
      </c>
      <c r="S24" s="10">
        <f t="shared" si="8"/>
        <v>-237725422.17004943</v>
      </c>
      <c r="T24" s="10">
        <f t="shared" si="6"/>
        <v>-22873578.094692588</v>
      </c>
      <c r="U24" s="1">
        <f>IF(AND(A24&gt;Assumptions!$B$39,A24&lt;=Assumptions!$B$39+Assumptions!$B$40),(A24-Assumptions!$B$39)*(Assumptions!$B$40+1-(A24-Assumptions!$B$39)),0)</f>
        <v>34</v>
      </c>
      <c r="V24" s="10">
        <f>R24*Assumptions!$B$45+IF(A24=Assumptions!$B$69,('Returns &amp; Waterfall'!$B$34-'Returns &amp; Waterfall'!$B$29*Assumptions!$B$45),0)</f>
        <v>-8234488.1140893325</v>
      </c>
      <c r="W24" s="10">
        <f>R24*Assumptions!$B$46-IF(A24=Assumptions!$B$69,('Returns &amp; Waterfall'!$B$34-'Returns &amp; Waterfall'!$B$29*Assumptions!$B$45),0)</f>
        <v>-914943.12378770334</v>
      </c>
      <c r="X24" s="10">
        <f>R24-IF(A24=Assumptions!$B$69,'Returns &amp; Waterfall'!$B$45,0)</f>
        <v>-9149431.2378770355</v>
      </c>
    </row>
    <row r="25" spans="1:24">
      <c r="A25" s="1">
        <v>21</v>
      </c>
      <c r="B25" s="10">
        <f>Assumptions!$B$61*U25/$U$2*(1+Assumptions!$B$89)^MAX(0,A25-Assumptions!$B$39)</f>
        <v>10200494.327065945</v>
      </c>
      <c r="C25" s="10">
        <f>Assumptions!$B$67*U25/$U$2*(1+Assumptions!$B$89)^MAX(0,A25-Assumptions!$B$39)</f>
        <v>1958382.7875827537</v>
      </c>
      <c r="D25" s="10">
        <f>Assumptions!$B$30*Sales!$P$62*G25/Assumptions!$B$54+Sales!V46</f>
        <v>0</v>
      </c>
      <c r="E25" s="10">
        <f>IF(A25=0,Assumptions!$B$66,0)</f>
        <v>0</v>
      </c>
      <c r="F25" s="10">
        <f t="shared" si="0"/>
        <v>12158877.114648698</v>
      </c>
      <c r="G25" s="5">
        <f>Sales!H46</f>
        <v>0</v>
      </c>
      <c r="H25" s="5">
        <f>Sales!I46</f>
        <v>95</v>
      </c>
      <c r="I25" s="10">
        <f>Sales!R46</f>
        <v>0</v>
      </c>
      <c r="J25" s="10">
        <f>Sales!S46+Sales!T46</f>
        <v>559663572.01829326</v>
      </c>
      <c r="K25" s="10">
        <f t="shared" si="1"/>
        <v>559663572.01829326</v>
      </c>
      <c r="L25" s="10">
        <f t="shared" si="2"/>
        <v>4863550.8458594792</v>
      </c>
      <c r="M25" s="10">
        <f>IF(H25/Assumptions!$B$54&gt;=Assumptions!$B$78,F25*Assumptions!$B$35,0)</f>
        <v>7295326.2687892187</v>
      </c>
      <c r="N25" s="10">
        <f t="shared" si="7"/>
        <v>128246754.30367941</v>
      </c>
      <c r="O25" s="10">
        <f>N25*Assumptions!$B$70</f>
        <v>1709956.724049059</v>
      </c>
      <c r="P25" s="10">
        <f t="shared" si="3"/>
        <v>137252037.2965177</v>
      </c>
      <c r="Q25" s="10">
        <f t="shared" si="4"/>
        <v>0</v>
      </c>
      <c r="R25" s="10">
        <f t="shared" si="5"/>
        <v>417547983.87591606</v>
      </c>
      <c r="S25" s="10">
        <f t="shared" si="8"/>
        <v>179822561.70586663</v>
      </c>
      <c r="T25" s="10">
        <f t="shared" si="6"/>
        <v>547504694.90364456</v>
      </c>
      <c r="U25" s="1">
        <f>IF(AND(A25&gt;Assumptions!$B$39,A25&lt;=Assumptions!$B$39+Assumptions!$B$40),(A25-Assumptions!$B$39)*(Assumptions!$B$40+1-(A25-Assumptions!$B$39)),0)</f>
        <v>18</v>
      </c>
      <c r="V25" s="10">
        <f>R25*Assumptions!$B$45+IF(A25=Assumptions!$B$69,('Returns &amp; Waterfall'!$B$34-'Returns &amp; Waterfall'!$B$29*Assumptions!$B$45),0)</f>
        <v>374525661.32475352</v>
      </c>
      <c r="W25" s="10">
        <f>R25*Assumptions!$B$46-IF(A25=Assumptions!$B$69,('Returns &amp; Waterfall'!$B$34-'Returns &amp; Waterfall'!$B$29*Assumptions!$B$45),0)</f>
        <v>43022322.551162511</v>
      </c>
      <c r="X25" s="10">
        <f>R25-IF(A25=Assumptions!$B$69,'Returns &amp; Waterfall'!$B$45,0)</f>
        <v>364178325.75852263</v>
      </c>
    </row>
    <row r="26" spans="1:24">
      <c r="A26" s="1">
        <v>22</v>
      </c>
      <c r="B26" s="10">
        <f>Assumptions!$B$61*U26/$U$2*(1+Assumptions!$B$89)^MAX(0,A26-Assumptions!$B$39)</f>
        <v>0</v>
      </c>
      <c r="C26" s="10">
        <f>Assumptions!$B$67*U26/$U$2*(1+Assumptions!$B$89)^MAX(0,A26-Assumptions!$B$39)</f>
        <v>0</v>
      </c>
      <c r="D26" s="10">
        <f>Assumptions!$B$30*Sales!$P$62*G26/Assumptions!$B$54+Sales!V47</f>
        <v>0</v>
      </c>
      <c r="E26" s="10">
        <f>IF(A26=0,Assumptions!$B$66,0)</f>
        <v>0</v>
      </c>
      <c r="F26" s="10">
        <f t="shared" si="0"/>
        <v>0</v>
      </c>
      <c r="G26" s="5">
        <f>Sales!H47</f>
        <v>0</v>
      </c>
      <c r="H26" s="5">
        <f>Sales!I47</f>
        <v>95</v>
      </c>
      <c r="I26" s="10">
        <f>Sales!R47</f>
        <v>0</v>
      </c>
      <c r="J26" s="10">
        <f>Sales!S47+Sales!T47</f>
        <v>0</v>
      </c>
      <c r="K26" s="10">
        <f t="shared" si="1"/>
        <v>0</v>
      </c>
      <c r="L26" s="10">
        <f t="shared" si="2"/>
        <v>0</v>
      </c>
      <c r="M26" s="10">
        <f>IF(H26/Assumptions!$B$54&gt;=Assumptions!$B$78,F26*Assumptions!$B$35,0)</f>
        <v>0</v>
      </c>
      <c r="N26" s="10">
        <f t="shared" si="7"/>
        <v>0</v>
      </c>
      <c r="O26" s="10">
        <f>N26*Assumptions!$B$70</f>
        <v>0</v>
      </c>
      <c r="P26" s="10">
        <f t="shared" si="3"/>
        <v>0</v>
      </c>
      <c r="Q26" s="10">
        <f t="shared" si="4"/>
        <v>0</v>
      </c>
      <c r="R26" s="10">
        <f t="shared" si="5"/>
        <v>0</v>
      </c>
      <c r="S26" s="10">
        <f t="shared" si="8"/>
        <v>179822561.70586663</v>
      </c>
      <c r="T26" s="10">
        <f t="shared" si="6"/>
        <v>0</v>
      </c>
      <c r="U26" s="1">
        <f>IF(AND(A26&gt;Assumptions!$B$39,A26&lt;=Assumptions!$B$39+Assumptions!$B$40),(A26-Assumptions!$B$39)*(Assumptions!$B$40+1-(A26-Assumptions!$B$39)),0)</f>
        <v>0</v>
      </c>
      <c r="V26" s="10">
        <f>R26*Assumptions!$B$45+IF(A26=Assumptions!$B$69,('Returns &amp; Waterfall'!$B$34-'Returns &amp; Waterfall'!$B$29*Assumptions!$B$45),0)</f>
        <v>0</v>
      </c>
      <c r="W26" s="10">
        <f>R26*Assumptions!$B$46-IF(A26=Assumptions!$B$69,('Returns &amp; Waterfall'!$B$34-'Returns &amp; Waterfall'!$B$29*Assumptions!$B$45),0)</f>
        <v>0</v>
      </c>
      <c r="X26" s="10">
        <f>R26-IF(A26=Assumptions!$B$69,'Returns &amp; Waterfall'!$B$45,0)</f>
        <v>0</v>
      </c>
    </row>
    <row r="27" spans="1:24">
      <c r="A27" s="1">
        <v>23</v>
      </c>
      <c r="B27" s="10">
        <f>Assumptions!$B$61*U27/$U$2*(1+Assumptions!$B$89)^MAX(0,A27-Assumptions!$B$39)</f>
        <v>0</v>
      </c>
      <c r="C27" s="10">
        <f>Assumptions!$B$67*U27/$U$2*(1+Assumptions!$B$89)^MAX(0,A27-Assumptions!$B$39)</f>
        <v>0</v>
      </c>
      <c r="D27" s="10">
        <f>Assumptions!$B$30*Sales!$P$62*G27/Assumptions!$B$54+Sales!V48</f>
        <v>0</v>
      </c>
      <c r="E27" s="10">
        <f>IF(A27=0,Assumptions!$B$66,0)</f>
        <v>0</v>
      </c>
      <c r="F27" s="10">
        <f t="shared" si="0"/>
        <v>0</v>
      </c>
      <c r="G27" s="5">
        <f>Sales!H48</f>
        <v>0</v>
      </c>
      <c r="H27" s="5">
        <f>Sales!I48</f>
        <v>95</v>
      </c>
      <c r="I27" s="10">
        <f>Sales!R48</f>
        <v>0</v>
      </c>
      <c r="J27" s="10">
        <f>Sales!S48+Sales!T48</f>
        <v>0</v>
      </c>
      <c r="K27" s="10">
        <f t="shared" si="1"/>
        <v>0</v>
      </c>
      <c r="L27" s="10">
        <f t="shared" si="2"/>
        <v>0</v>
      </c>
      <c r="M27" s="10">
        <f>IF(H27/Assumptions!$B$54&gt;=Assumptions!$B$78,F27*Assumptions!$B$35,0)</f>
        <v>0</v>
      </c>
      <c r="N27" s="10">
        <f t="shared" si="7"/>
        <v>0</v>
      </c>
      <c r="O27" s="10">
        <f>N27*Assumptions!$B$70</f>
        <v>0</v>
      </c>
      <c r="P27" s="10">
        <f t="shared" si="3"/>
        <v>0</v>
      </c>
      <c r="Q27" s="10">
        <f t="shared" si="4"/>
        <v>0</v>
      </c>
      <c r="R27" s="10">
        <f t="shared" si="5"/>
        <v>0</v>
      </c>
      <c r="S27" s="10">
        <f t="shared" si="8"/>
        <v>179822561.70586663</v>
      </c>
      <c r="T27" s="10">
        <f t="shared" si="6"/>
        <v>0</v>
      </c>
      <c r="U27" s="1">
        <f>IF(AND(A27&gt;Assumptions!$B$39,A27&lt;=Assumptions!$B$39+Assumptions!$B$40),(A27-Assumptions!$B$39)*(Assumptions!$B$40+1-(A27-Assumptions!$B$39)),0)</f>
        <v>0</v>
      </c>
      <c r="V27" s="10">
        <f>R27*Assumptions!$B$45+IF(A27=Assumptions!$B$69,('Returns &amp; Waterfall'!$B$34-'Returns &amp; Waterfall'!$B$29*Assumptions!$B$45),0)</f>
        <v>0</v>
      </c>
      <c r="W27" s="10">
        <f>R27*Assumptions!$B$46-IF(A27=Assumptions!$B$69,('Returns &amp; Waterfall'!$B$34-'Returns &amp; Waterfall'!$B$29*Assumptions!$B$45),0)</f>
        <v>0</v>
      </c>
      <c r="X27" s="10">
        <f>R27-IF(A27=Assumptions!$B$69,'Returns &amp; Waterfall'!$B$45,0)</f>
        <v>0</v>
      </c>
    </row>
    <row r="28" spans="1:24">
      <c r="A28" s="1">
        <v>24</v>
      </c>
      <c r="B28" s="10">
        <f>Assumptions!$B$61*U28/$U$2*(1+Assumptions!$B$89)^MAX(0,A28-Assumptions!$B$39)</f>
        <v>0</v>
      </c>
      <c r="C28" s="10">
        <f>Assumptions!$B$67*U28/$U$2*(1+Assumptions!$B$89)^MAX(0,A28-Assumptions!$B$39)</f>
        <v>0</v>
      </c>
      <c r="D28" s="10">
        <f>Assumptions!$B$30*Sales!$P$62*G28/Assumptions!$B$54+Sales!V49</f>
        <v>0</v>
      </c>
      <c r="E28" s="10">
        <f>IF(A28=0,Assumptions!$B$66,0)</f>
        <v>0</v>
      </c>
      <c r="F28" s="10">
        <f t="shared" si="0"/>
        <v>0</v>
      </c>
      <c r="G28" s="5">
        <f>Sales!H49</f>
        <v>0</v>
      </c>
      <c r="H28" s="5">
        <f>Sales!I49</f>
        <v>95</v>
      </c>
      <c r="I28" s="10">
        <f>Sales!R49</f>
        <v>0</v>
      </c>
      <c r="J28" s="10">
        <f>Sales!S49+Sales!T49</f>
        <v>0</v>
      </c>
      <c r="K28" s="10">
        <f t="shared" si="1"/>
        <v>0</v>
      </c>
      <c r="L28" s="10">
        <f t="shared" si="2"/>
        <v>0</v>
      </c>
      <c r="M28" s="10">
        <f>IF(H28/Assumptions!$B$54&gt;=Assumptions!$B$78,F28*Assumptions!$B$35,0)</f>
        <v>0</v>
      </c>
      <c r="N28" s="10">
        <f t="shared" si="7"/>
        <v>0</v>
      </c>
      <c r="O28" s="10">
        <f>N28*Assumptions!$B$70</f>
        <v>0</v>
      </c>
      <c r="P28" s="10">
        <f t="shared" si="3"/>
        <v>0</v>
      </c>
      <c r="Q28" s="10">
        <f t="shared" si="4"/>
        <v>0</v>
      </c>
      <c r="R28" s="10">
        <f t="shared" si="5"/>
        <v>0</v>
      </c>
      <c r="S28" s="10">
        <f t="shared" si="8"/>
        <v>179822561.70586663</v>
      </c>
      <c r="T28" s="10">
        <f t="shared" si="6"/>
        <v>0</v>
      </c>
      <c r="U28" s="1">
        <f>IF(AND(A28&gt;Assumptions!$B$39,A28&lt;=Assumptions!$B$39+Assumptions!$B$40),(A28-Assumptions!$B$39)*(Assumptions!$B$40+1-(A28-Assumptions!$B$39)),0)</f>
        <v>0</v>
      </c>
      <c r="V28" s="10">
        <f>R28*Assumptions!$B$45+IF(A28=Assumptions!$B$69,('Returns &amp; Waterfall'!$B$34-'Returns &amp; Waterfall'!$B$29*Assumptions!$B$45),0)</f>
        <v>0</v>
      </c>
      <c r="W28" s="10">
        <f>R28*Assumptions!$B$46-IF(A28=Assumptions!$B$69,('Returns &amp; Waterfall'!$B$34-'Returns &amp; Waterfall'!$B$29*Assumptions!$B$45),0)</f>
        <v>0</v>
      </c>
      <c r="X28" s="10">
        <f>R28-IF(A28=Assumptions!$B$69,'Returns &amp; Waterfall'!$B$45,0)</f>
        <v>0</v>
      </c>
    </row>
    <row r="29" spans="1:24">
      <c r="A29" s="1">
        <v>25</v>
      </c>
      <c r="B29" s="10">
        <f>Assumptions!$B$61*U29/$U$2*(1+Assumptions!$B$89)^MAX(0,A29-Assumptions!$B$39)</f>
        <v>0</v>
      </c>
      <c r="C29" s="10">
        <f>Assumptions!$B$67*U29/$U$2*(1+Assumptions!$B$89)^MAX(0,A29-Assumptions!$B$39)</f>
        <v>0</v>
      </c>
      <c r="D29" s="10">
        <f>Assumptions!$B$30*Sales!$P$62*G29/Assumptions!$B$54+Sales!V50</f>
        <v>0</v>
      </c>
      <c r="E29" s="10">
        <f>IF(A29=0,Assumptions!$B$66,0)</f>
        <v>0</v>
      </c>
      <c r="F29" s="10">
        <f t="shared" si="0"/>
        <v>0</v>
      </c>
      <c r="G29" s="5">
        <f>Sales!H50</f>
        <v>0</v>
      </c>
      <c r="H29" s="5">
        <f>Sales!I50</f>
        <v>95</v>
      </c>
      <c r="I29" s="10">
        <f>Sales!R50</f>
        <v>0</v>
      </c>
      <c r="J29" s="10">
        <f>Sales!S50+Sales!T50</f>
        <v>0</v>
      </c>
      <c r="K29" s="10">
        <f t="shared" si="1"/>
        <v>0</v>
      </c>
      <c r="L29" s="10">
        <f t="shared" si="2"/>
        <v>0</v>
      </c>
      <c r="M29" s="10">
        <f>IF(H29/Assumptions!$B$54&gt;=Assumptions!$B$78,F29*Assumptions!$B$35,0)</f>
        <v>0</v>
      </c>
      <c r="N29" s="10">
        <f t="shared" si="7"/>
        <v>0</v>
      </c>
      <c r="O29" s="10">
        <f>N29*Assumptions!$B$70</f>
        <v>0</v>
      </c>
      <c r="P29" s="10">
        <f t="shared" si="3"/>
        <v>0</v>
      </c>
      <c r="Q29" s="10">
        <f t="shared" si="4"/>
        <v>0</v>
      </c>
      <c r="R29" s="10">
        <f t="shared" si="5"/>
        <v>0</v>
      </c>
      <c r="S29" s="10">
        <f t="shared" si="8"/>
        <v>179822561.70586663</v>
      </c>
      <c r="T29" s="10">
        <f t="shared" si="6"/>
        <v>0</v>
      </c>
      <c r="U29" s="1">
        <f>IF(AND(A29&gt;Assumptions!$B$39,A29&lt;=Assumptions!$B$39+Assumptions!$B$40),(A29-Assumptions!$B$39)*(Assumptions!$B$40+1-(A29-Assumptions!$B$39)),0)</f>
        <v>0</v>
      </c>
      <c r="V29" s="10">
        <f>R29*Assumptions!$B$45+IF(A29=Assumptions!$B$69,('Returns &amp; Waterfall'!$B$34-'Returns &amp; Waterfall'!$B$29*Assumptions!$B$45),0)</f>
        <v>0</v>
      </c>
      <c r="W29" s="10">
        <f>R29*Assumptions!$B$46-IF(A29=Assumptions!$B$69,('Returns &amp; Waterfall'!$B$34-'Returns &amp; Waterfall'!$B$29*Assumptions!$B$45),0)</f>
        <v>0</v>
      </c>
      <c r="X29" s="10">
        <f>R29-IF(A29=Assumptions!$B$69,'Returns &amp; Waterfall'!$B$45,0)</f>
        <v>0</v>
      </c>
    </row>
    <row r="30" spans="1:24">
      <c r="A30" s="1">
        <v>26</v>
      </c>
      <c r="B30" s="10">
        <f>Assumptions!$B$61*U30/$U$2*(1+Assumptions!$B$89)^MAX(0,A30-Assumptions!$B$39)</f>
        <v>0</v>
      </c>
      <c r="C30" s="10">
        <f>Assumptions!$B$67*U30/$U$2*(1+Assumptions!$B$89)^MAX(0,A30-Assumptions!$B$39)</f>
        <v>0</v>
      </c>
      <c r="D30" s="10">
        <f>Assumptions!$B$30*Sales!$P$62*G30/Assumptions!$B$54+Sales!V51</f>
        <v>0</v>
      </c>
      <c r="E30" s="10">
        <f>IF(A30=0,Assumptions!$B$66,0)</f>
        <v>0</v>
      </c>
      <c r="F30" s="10">
        <f t="shared" si="0"/>
        <v>0</v>
      </c>
      <c r="G30" s="5">
        <f>Sales!H51</f>
        <v>0</v>
      </c>
      <c r="H30" s="5">
        <f>Sales!I51</f>
        <v>95</v>
      </c>
      <c r="I30" s="10">
        <f>Sales!R51</f>
        <v>0</v>
      </c>
      <c r="J30" s="10">
        <f>Sales!S51+Sales!T51</f>
        <v>0</v>
      </c>
      <c r="K30" s="10">
        <f t="shared" si="1"/>
        <v>0</v>
      </c>
      <c r="L30" s="10">
        <f t="shared" si="2"/>
        <v>0</v>
      </c>
      <c r="M30" s="10">
        <f>IF(H30/Assumptions!$B$54&gt;=Assumptions!$B$78,F30*Assumptions!$B$35,0)</f>
        <v>0</v>
      </c>
      <c r="N30" s="10">
        <f t="shared" si="7"/>
        <v>0</v>
      </c>
      <c r="O30" s="10">
        <f>N30*Assumptions!$B$70</f>
        <v>0</v>
      </c>
      <c r="P30" s="10">
        <f t="shared" si="3"/>
        <v>0</v>
      </c>
      <c r="Q30" s="10">
        <f t="shared" si="4"/>
        <v>0</v>
      </c>
      <c r="R30" s="10">
        <f t="shared" si="5"/>
        <v>0</v>
      </c>
      <c r="S30" s="10">
        <f t="shared" si="8"/>
        <v>179822561.70586663</v>
      </c>
      <c r="T30" s="10">
        <f t="shared" si="6"/>
        <v>0</v>
      </c>
      <c r="U30" s="1">
        <f>IF(AND(A30&gt;Assumptions!$B$39,A30&lt;=Assumptions!$B$39+Assumptions!$B$40),(A30-Assumptions!$B$39)*(Assumptions!$B$40+1-(A30-Assumptions!$B$39)),0)</f>
        <v>0</v>
      </c>
      <c r="V30" s="10">
        <f>R30*Assumptions!$B$45+IF(A30=Assumptions!$B$69,('Returns &amp; Waterfall'!$B$34-'Returns &amp; Waterfall'!$B$29*Assumptions!$B$45),0)</f>
        <v>0</v>
      </c>
      <c r="W30" s="10">
        <f>R30*Assumptions!$B$46-IF(A30=Assumptions!$B$69,('Returns &amp; Waterfall'!$B$34-'Returns &amp; Waterfall'!$B$29*Assumptions!$B$45),0)</f>
        <v>0</v>
      </c>
      <c r="X30" s="10">
        <f>R30-IF(A30=Assumptions!$B$69,'Returns &amp; Waterfall'!$B$45,0)</f>
        <v>0</v>
      </c>
    </row>
    <row r="31" spans="1:24">
      <c r="A31" s="1">
        <v>27</v>
      </c>
      <c r="B31" s="10">
        <f>Assumptions!$B$61*U31/$U$2*(1+Assumptions!$B$89)^MAX(0,A31-Assumptions!$B$39)</f>
        <v>0</v>
      </c>
      <c r="C31" s="10">
        <f>Assumptions!$B$67*U31/$U$2*(1+Assumptions!$B$89)^MAX(0,A31-Assumptions!$B$39)</f>
        <v>0</v>
      </c>
      <c r="D31" s="10">
        <f>Assumptions!$B$30*Sales!$P$62*G31/Assumptions!$B$54+Sales!V52</f>
        <v>0</v>
      </c>
      <c r="E31" s="10">
        <f>IF(A31=0,Assumptions!$B$66,0)</f>
        <v>0</v>
      </c>
      <c r="F31" s="10">
        <f t="shared" si="0"/>
        <v>0</v>
      </c>
      <c r="G31" s="5">
        <f>Sales!H52</f>
        <v>0</v>
      </c>
      <c r="H31" s="5">
        <f>Sales!I52</f>
        <v>95</v>
      </c>
      <c r="I31" s="10">
        <f>Sales!R52</f>
        <v>0</v>
      </c>
      <c r="J31" s="10">
        <f>Sales!S52+Sales!T52</f>
        <v>0</v>
      </c>
      <c r="K31" s="10">
        <f t="shared" si="1"/>
        <v>0</v>
      </c>
      <c r="L31" s="10">
        <f t="shared" si="2"/>
        <v>0</v>
      </c>
      <c r="M31" s="10">
        <f>IF(H31/Assumptions!$B$54&gt;=Assumptions!$B$78,F31*Assumptions!$B$35,0)</f>
        <v>0</v>
      </c>
      <c r="N31" s="10">
        <f t="shared" si="7"/>
        <v>0</v>
      </c>
      <c r="O31" s="10">
        <f>N31*Assumptions!$B$70</f>
        <v>0</v>
      </c>
      <c r="P31" s="10">
        <f t="shared" si="3"/>
        <v>0</v>
      </c>
      <c r="Q31" s="10">
        <f t="shared" si="4"/>
        <v>0</v>
      </c>
      <c r="R31" s="10">
        <f t="shared" si="5"/>
        <v>0</v>
      </c>
      <c r="S31" s="10">
        <f t="shared" si="8"/>
        <v>179822561.70586663</v>
      </c>
      <c r="T31" s="10">
        <f t="shared" si="6"/>
        <v>0</v>
      </c>
      <c r="U31" s="1">
        <f>IF(AND(A31&gt;Assumptions!$B$39,A31&lt;=Assumptions!$B$39+Assumptions!$B$40),(A31-Assumptions!$B$39)*(Assumptions!$B$40+1-(A31-Assumptions!$B$39)),0)</f>
        <v>0</v>
      </c>
      <c r="V31" s="10">
        <f>R31*Assumptions!$B$45+IF(A31=Assumptions!$B$69,('Returns &amp; Waterfall'!$B$34-'Returns &amp; Waterfall'!$B$29*Assumptions!$B$45),0)</f>
        <v>0</v>
      </c>
      <c r="W31" s="10">
        <f>R31*Assumptions!$B$46-IF(A31=Assumptions!$B$69,('Returns &amp; Waterfall'!$B$34-'Returns &amp; Waterfall'!$B$29*Assumptions!$B$45),0)</f>
        <v>0</v>
      </c>
      <c r="X31" s="10">
        <f>R31-IF(A31=Assumptions!$B$69,'Returns &amp; Waterfall'!$B$45,0)</f>
        <v>0</v>
      </c>
    </row>
    <row r="32" spans="1:24">
      <c r="A32" s="1">
        <v>28</v>
      </c>
      <c r="B32" s="10">
        <f>Assumptions!$B$61*U32/$U$2*(1+Assumptions!$B$89)^MAX(0,A32-Assumptions!$B$39)</f>
        <v>0</v>
      </c>
      <c r="C32" s="10">
        <f>Assumptions!$B$67*U32/$U$2*(1+Assumptions!$B$89)^MAX(0,A32-Assumptions!$B$39)</f>
        <v>0</v>
      </c>
      <c r="D32" s="10">
        <f>Assumptions!$B$30*Sales!$P$62*G32/Assumptions!$B$54+Sales!V53</f>
        <v>0</v>
      </c>
      <c r="E32" s="10">
        <f>IF(A32=0,Assumptions!$B$66,0)</f>
        <v>0</v>
      </c>
      <c r="F32" s="10">
        <f t="shared" si="0"/>
        <v>0</v>
      </c>
      <c r="G32" s="5">
        <f>Sales!H53</f>
        <v>0</v>
      </c>
      <c r="H32" s="5">
        <f>Sales!I53</f>
        <v>95</v>
      </c>
      <c r="I32" s="10">
        <f>Sales!R53</f>
        <v>0</v>
      </c>
      <c r="J32" s="10">
        <f>Sales!S53+Sales!T53</f>
        <v>0</v>
      </c>
      <c r="K32" s="10">
        <f t="shared" si="1"/>
        <v>0</v>
      </c>
      <c r="L32" s="10">
        <f t="shared" si="2"/>
        <v>0</v>
      </c>
      <c r="M32" s="10">
        <f>IF(H32/Assumptions!$B$54&gt;=Assumptions!$B$78,F32*Assumptions!$B$35,0)</f>
        <v>0</v>
      </c>
      <c r="N32" s="10">
        <f t="shared" si="7"/>
        <v>0</v>
      </c>
      <c r="O32" s="10">
        <f>N32*Assumptions!$B$70</f>
        <v>0</v>
      </c>
      <c r="P32" s="10">
        <f t="shared" si="3"/>
        <v>0</v>
      </c>
      <c r="Q32" s="10">
        <f t="shared" si="4"/>
        <v>0</v>
      </c>
      <c r="R32" s="10">
        <f t="shared" si="5"/>
        <v>0</v>
      </c>
      <c r="S32" s="10">
        <f t="shared" si="8"/>
        <v>179822561.70586663</v>
      </c>
      <c r="T32" s="10">
        <f t="shared" si="6"/>
        <v>0</v>
      </c>
      <c r="U32" s="1">
        <f>IF(AND(A32&gt;Assumptions!$B$39,A32&lt;=Assumptions!$B$39+Assumptions!$B$40),(A32-Assumptions!$B$39)*(Assumptions!$B$40+1-(A32-Assumptions!$B$39)),0)</f>
        <v>0</v>
      </c>
      <c r="V32" s="10">
        <f>R32*Assumptions!$B$45+IF(A32=Assumptions!$B$69,('Returns &amp; Waterfall'!$B$34-'Returns &amp; Waterfall'!$B$29*Assumptions!$B$45),0)</f>
        <v>0</v>
      </c>
      <c r="W32" s="10">
        <f>R32*Assumptions!$B$46-IF(A32=Assumptions!$B$69,('Returns &amp; Waterfall'!$B$34-'Returns &amp; Waterfall'!$B$29*Assumptions!$B$45),0)</f>
        <v>0</v>
      </c>
      <c r="X32" s="10">
        <f>R32-IF(A32=Assumptions!$B$69,'Returns &amp; Waterfall'!$B$45,0)</f>
        <v>0</v>
      </c>
    </row>
    <row r="33" spans="1:24">
      <c r="A33" s="1">
        <v>29</v>
      </c>
      <c r="B33" s="10">
        <f>Assumptions!$B$61*U33/$U$2*(1+Assumptions!$B$89)^MAX(0,A33-Assumptions!$B$39)</f>
        <v>0</v>
      </c>
      <c r="C33" s="10">
        <f>Assumptions!$B$67*U33/$U$2*(1+Assumptions!$B$89)^MAX(0,A33-Assumptions!$B$39)</f>
        <v>0</v>
      </c>
      <c r="D33" s="10">
        <f>Assumptions!$B$30*Sales!$P$62*G33/Assumptions!$B$54+Sales!V54</f>
        <v>0</v>
      </c>
      <c r="E33" s="10">
        <f>IF(A33=0,Assumptions!$B$66,0)</f>
        <v>0</v>
      </c>
      <c r="F33" s="10">
        <f t="shared" si="0"/>
        <v>0</v>
      </c>
      <c r="G33" s="5">
        <f>Sales!H54</f>
        <v>0</v>
      </c>
      <c r="H33" s="5">
        <f>Sales!I54</f>
        <v>95</v>
      </c>
      <c r="I33" s="10">
        <f>Sales!R54</f>
        <v>0</v>
      </c>
      <c r="J33" s="10">
        <f>Sales!S54+Sales!T54</f>
        <v>0</v>
      </c>
      <c r="K33" s="10">
        <f t="shared" si="1"/>
        <v>0</v>
      </c>
      <c r="L33" s="10">
        <f t="shared" si="2"/>
        <v>0</v>
      </c>
      <c r="M33" s="10">
        <f>IF(H33/Assumptions!$B$54&gt;=Assumptions!$B$78,F33*Assumptions!$B$35,0)</f>
        <v>0</v>
      </c>
      <c r="N33" s="10">
        <f t="shared" si="7"/>
        <v>0</v>
      </c>
      <c r="O33" s="10">
        <f>N33*Assumptions!$B$70</f>
        <v>0</v>
      </c>
      <c r="P33" s="10">
        <f t="shared" si="3"/>
        <v>0</v>
      </c>
      <c r="Q33" s="10">
        <f t="shared" si="4"/>
        <v>0</v>
      </c>
      <c r="R33" s="10">
        <f t="shared" si="5"/>
        <v>0</v>
      </c>
      <c r="S33" s="10">
        <f t="shared" si="8"/>
        <v>179822561.70586663</v>
      </c>
      <c r="T33" s="10">
        <f t="shared" si="6"/>
        <v>0</v>
      </c>
      <c r="U33" s="1">
        <f>IF(AND(A33&gt;Assumptions!$B$39,A33&lt;=Assumptions!$B$39+Assumptions!$B$40),(A33-Assumptions!$B$39)*(Assumptions!$B$40+1-(A33-Assumptions!$B$39)),0)</f>
        <v>0</v>
      </c>
      <c r="V33" s="10">
        <f>R33*Assumptions!$B$45+IF(A33=Assumptions!$B$69,('Returns &amp; Waterfall'!$B$34-'Returns &amp; Waterfall'!$B$29*Assumptions!$B$45),0)</f>
        <v>0</v>
      </c>
      <c r="W33" s="10">
        <f>R33*Assumptions!$B$46-IF(A33=Assumptions!$B$69,('Returns &amp; Waterfall'!$B$34-'Returns &amp; Waterfall'!$B$29*Assumptions!$B$45),0)</f>
        <v>0</v>
      </c>
      <c r="X33" s="10">
        <f>R33-IF(A33=Assumptions!$B$69,'Returns &amp; Waterfall'!$B$45,0)</f>
        <v>0</v>
      </c>
    </row>
    <row r="34" spans="1:24">
      <c r="A34" s="1">
        <v>30</v>
      </c>
      <c r="B34" s="10">
        <f>Assumptions!$B$61*U34/$U$2*(1+Assumptions!$B$89)^MAX(0,A34-Assumptions!$B$39)</f>
        <v>0</v>
      </c>
      <c r="C34" s="10">
        <f>Assumptions!$B$67*U34/$U$2*(1+Assumptions!$B$89)^MAX(0,A34-Assumptions!$B$39)</f>
        <v>0</v>
      </c>
      <c r="D34" s="10">
        <f>Assumptions!$B$30*Sales!$P$62*G34/Assumptions!$B$54+Sales!V55</f>
        <v>0</v>
      </c>
      <c r="E34" s="10">
        <f>IF(A34=0,Assumptions!$B$66,0)</f>
        <v>0</v>
      </c>
      <c r="F34" s="10">
        <f t="shared" si="0"/>
        <v>0</v>
      </c>
      <c r="G34" s="5">
        <f>Sales!H55</f>
        <v>0</v>
      </c>
      <c r="H34" s="5">
        <f>Sales!I55</f>
        <v>95</v>
      </c>
      <c r="I34" s="10">
        <f>Sales!R55</f>
        <v>0</v>
      </c>
      <c r="J34" s="10">
        <f>Sales!S55+Sales!T55</f>
        <v>0</v>
      </c>
      <c r="K34" s="10">
        <f t="shared" si="1"/>
        <v>0</v>
      </c>
      <c r="L34" s="10">
        <f t="shared" si="2"/>
        <v>0</v>
      </c>
      <c r="M34" s="10">
        <f>IF(H34/Assumptions!$B$54&gt;=Assumptions!$B$78,F34*Assumptions!$B$35,0)</f>
        <v>0</v>
      </c>
      <c r="N34" s="10">
        <f t="shared" si="7"/>
        <v>0</v>
      </c>
      <c r="O34" s="10">
        <f>N34*Assumptions!$B$70</f>
        <v>0</v>
      </c>
      <c r="P34" s="10">
        <f t="shared" si="3"/>
        <v>0</v>
      </c>
      <c r="Q34" s="10">
        <f t="shared" si="4"/>
        <v>0</v>
      </c>
      <c r="R34" s="10">
        <f t="shared" si="5"/>
        <v>0</v>
      </c>
      <c r="S34" s="10">
        <f t="shared" si="8"/>
        <v>179822561.70586663</v>
      </c>
      <c r="T34" s="10">
        <f t="shared" si="6"/>
        <v>0</v>
      </c>
      <c r="U34" s="1">
        <f>IF(AND(A34&gt;Assumptions!$B$39,A34&lt;=Assumptions!$B$39+Assumptions!$B$40),(A34-Assumptions!$B$39)*(Assumptions!$B$40+1-(A34-Assumptions!$B$39)),0)</f>
        <v>0</v>
      </c>
      <c r="V34" s="10">
        <f>R34*Assumptions!$B$45+IF(A34=Assumptions!$B$69,('Returns &amp; Waterfall'!$B$34-'Returns &amp; Waterfall'!$B$29*Assumptions!$B$45),0)</f>
        <v>0</v>
      </c>
      <c r="W34" s="10">
        <f>R34*Assumptions!$B$46-IF(A34=Assumptions!$B$69,('Returns &amp; Waterfall'!$B$34-'Returns &amp; Waterfall'!$B$29*Assumptions!$B$45),0)</f>
        <v>0</v>
      </c>
      <c r="X34" s="10">
        <f>R34-IF(A34=Assumptions!$B$69,'Returns &amp; Waterfall'!$B$45,0)</f>
        <v>0</v>
      </c>
    </row>
    <row r="35" spans="1:24">
      <c r="A35" s="1">
        <v>31</v>
      </c>
      <c r="B35" s="10">
        <f>Assumptions!$B$61*U35/$U$2*(1+Assumptions!$B$89)^MAX(0,A35-Assumptions!$B$39)</f>
        <v>0</v>
      </c>
      <c r="C35" s="10">
        <f>Assumptions!$B$67*U35/$U$2*(1+Assumptions!$B$89)^MAX(0,A35-Assumptions!$B$39)</f>
        <v>0</v>
      </c>
      <c r="D35" s="10">
        <f>Assumptions!$B$30*Sales!$P$62*G35/Assumptions!$B$54+Sales!V56</f>
        <v>0</v>
      </c>
      <c r="E35" s="10">
        <f>IF(A35=0,Assumptions!$B$66,0)</f>
        <v>0</v>
      </c>
      <c r="F35" s="10">
        <f t="shared" si="0"/>
        <v>0</v>
      </c>
      <c r="G35" s="5">
        <f>Sales!H56</f>
        <v>0</v>
      </c>
      <c r="H35" s="5">
        <f>Sales!I56</f>
        <v>95</v>
      </c>
      <c r="I35" s="10">
        <f>Sales!R56</f>
        <v>0</v>
      </c>
      <c r="J35" s="10">
        <f>Sales!S56+Sales!T56</f>
        <v>0</v>
      </c>
      <c r="K35" s="10">
        <f t="shared" si="1"/>
        <v>0</v>
      </c>
      <c r="L35" s="10">
        <f t="shared" si="2"/>
        <v>0</v>
      </c>
      <c r="M35" s="10">
        <f>IF(H35/Assumptions!$B$54&gt;=Assumptions!$B$78,F35*Assumptions!$B$35,0)</f>
        <v>0</v>
      </c>
      <c r="N35" s="10">
        <f t="shared" si="7"/>
        <v>0</v>
      </c>
      <c r="O35" s="10">
        <f>N35*Assumptions!$B$70</f>
        <v>0</v>
      </c>
      <c r="P35" s="10">
        <f t="shared" si="3"/>
        <v>0</v>
      </c>
      <c r="Q35" s="10">
        <f t="shared" si="4"/>
        <v>0</v>
      </c>
      <c r="R35" s="10">
        <f t="shared" si="5"/>
        <v>0</v>
      </c>
      <c r="S35" s="10">
        <f t="shared" si="8"/>
        <v>179822561.70586663</v>
      </c>
      <c r="T35" s="10">
        <f t="shared" si="6"/>
        <v>0</v>
      </c>
      <c r="U35" s="1">
        <f>IF(AND(A35&gt;Assumptions!$B$39,A35&lt;=Assumptions!$B$39+Assumptions!$B$40),(A35-Assumptions!$B$39)*(Assumptions!$B$40+1-(A35-Assumptions!$B$39)),0)</f>
        <v>0</v>
      </c>
      <c r="V35" s="10">
        <f>R35*Assumptions!$B$45+IF(A35=Assumptions!$B$69,('Returns &amp; Waterfall'!$B$34-'Returns &amp; Waterfall'!$B$29*Assumptions!$B$45),0)</f>
        <v>0</v>
      </c>
      <c r="W35" s="10">
        <f>R35*Assumptions!$B$46-IF(A35=Assumptions!$B$69,('Returns &amp; Waterfall'!$B$34-'Returns &amp; Waterfall'!$B$29*Assumptions!$B$45),0)</f>
        <v>0</v>
      </c>
      <c r="X35" s="10">
        <f>R35-IF(A35=Assumptions!$B$69,'Returns &amp; Waterfall'!$B$45,0)</f>
        <v>0</v>
      </c>
    </row>
    <row r="36" spans="1:24">
      <c r="A36" s="1">
        <v>32</v>
      </c>
      <c r="B36" s="10">
        <f>Assumptions!$B$61*U36/$U$2*(1+Assumptions!$B$89)^MAX(0,A36-Assumptions!$B$39)</f>
        <v>0</v>
      </c>
      <c r="C36" s="10">
        <f>Assumptions!$B$67*U36/$U$2*(1+Assumptions!$B$89)^MAX(0,A36-Assumptions!$B$39)</f>
        <v>0</v>
      </c>
      <c r="D36" s="10">
        <f>Assumptions!$B$30*Sales!$P$62*G36/Assumptions!$B$54+Sales!V57</f>
        <v>0</v>
      </c>
      <c r="E36" s="10">
        <f>IF(A36=0,Assumptions!$B$66,0)</f>
        <v>0</v>
      </c>
      <c r="F36" s="10">
        <f t="shared" si="0"/>
        <v>0</v>
      </c>
      <c r="G36" s="5">
        <f>Sales!H57</f>
        <v>0</v>
      </c>
      <c r="H36" s="5">
        <f>Sales!I57</f>
        <v>95</v>
      </c>
      <c r="I36" s="10">
        <f>Sales!R57</f>
        <v>0</v>
      </c>
      <c r="J36" s="10">
        <f>Sales!S57+Sales!T57</f>
        <v>0</v>
      </c>
      <c r="K36" s="10">
        <f t="shared" si="1"/>
        <v>0</v>
      </c>
      <c r="L36" s="10">
        <f t="shared" si="2"/>
        <v>0</v>
      </c>
      <c r="M36" s="10">
        <f>IF(H36/Assumptions!$B$54&gt;=Assumptions!$B$78,F36*Assumptions!$B$35,0)</f>
        <v>0</v>
      </c>
      <c r="N36" s="10">
        <f t="shared" si="7"/>
        <v>0</v>
      </c>
      <c r="O36" s="10">
        <f>N36*Assumptions!$B$70</f>
        <v>0</v>
      </c>
      <c r="P36" s="10">
        <f t="shared" si="3"/>
        <v>0</v>
      </c>
      <c r="Q36" s="10">
        <f t="shared" si="4"/>
        <v>0</v>
      </c>
      <c r="R36" s="10">
        <f t="shared" si="5"/>
        <v>0</v>
      </c>
      <c r="S36" s="10">
        <f t="shared" si="8"/>
        <v>179822561.70586663</v>
      </c>
      <c r="T36" s="10">
        <f t="shared" si="6"/>
        <v>0</v>
      </c>
      <c r="U36" s="1">
        <f>IF(AND(A36&gt;Assumptions!$B$39,A36&lt;=Assumptions!$B$39+Assumptions!$B$40),(A36-Assumptions!$B$39)*(Assumptions!$B$40+1-(A36-Assumptions!$B$39)),0)</f>
        <v>0</v>
      </c>
      <c r="V36" s="10">
        <f>R36*Assumptions!$B$45+IF(A36=Assumptions!$B$69,('Returns &amp; Waterfall'!$B$34-'Returns &amp; Waterfall'!$B$29*Assumptions!$B$45),0)</f>
        <v>0</v>
      </c>
      <c r="W36" s="10">
        <f>R36*Assumptions!$B$46-IF(A36=Assumptions!$B$69,('Returns &amp; Waterfall'!$B$34-'Returns &amp; Waterfall'!$B$29*Assumptions!$B$45),0)</f>
        <v>0</v>
      </c>
      <c r="X36" s="10">
        <f>R36-IF(A36=Assumptions!$B$69,'Returns &amp; Waterfall'!$B$45,0)</f>
        <v>0</v>
      </c>
    </row>
    <row r="37" spans="1:24">
      <c r="A37" s="1">
        <v>33</v>
      </c>
      <c r="B37" s="10">
        <f>Assumptions!$B$61*U37/$U$2*(1+Assumptions!$B$89)^MAX(0,A37-Assumptions!$B$39)</f>
        <v>0</v>
      </c>
      <c r="C37" s="10">
        <f>Assumptions!$B$67*U37/$U$2*(1+Assumptions!$B$89)^MAX(0,A37-Assumptions!$B$39)</f>
        <v>0</v>
      </c>
      <c r="D37" s="10">
        <f>Assumptions!$B$30*Sales!$P$62*G37/Assumptions!$B$54+Sales!V58</f>
        <v>0</v>
      </c>
      <c r="E37" s="10">
        <f>IF(A37=0,Assumptions!$B$66,0)</f>
        <v>0</v>
      </c>
      <c r="F37" s="10">
        <f t="shared" si="0"/>
        <v>0</v>
      </c>
      <c r="G37" s="5">
        <f>Sales!H58</f>
        <v>0</v>
      </c>
      <c r="H37" s="5">
        <f>Sales!I58</f>
        <v>95</v>
      </c>
      <c r="I37" s="10">
        <f>Sales!R58</f>
        <v>0</v>
      </c>
      <c r="J37" s="10">
        <f>Sales!S58+Sales!T58</f>
        <v>0</v>
      </c>
      <c r="K37" s="10">
        <f t="shared" si="1"/>
        <v>0</v>
      </c>
      <c r="L37" s="10">
        <f t="shared" si="2"/>
        <v>0</v>
      </c>
      <c r="M37" s="10">
        <f>IF(H37/Assumptions!$B$54&gt;=Assumptions!$B$78,F37*Assumptions!$B$35,0)</f>
        <v>0</v>
      </c>
      <c r="N37" s="10">
        <f t="shared" si="7"/>
        <v>0</v>
      </c>
      <c r="O37" s="10">
        <f>N37*Assumptions!$B$70</f>
        <v>0</v>
      </c>
      <c r="P37" s="10">
        <f t="shared" si="3"/>
        <v>0</v>
      </c>
      <c r="Q37" s="10">
        <f t="shared" si="4"/>
        <v>0</v>
      </c>
      <c r="R37" s="10">
        <f t="shared" si="5"/>
        <v>0</v>
      </c>
      <c r="S37" s="10">
        <f t="shared" si="8"/>
        <v>179822561.70586663</v>
      </c>
      <c r="T37" s="10">
        <f t="shared" si="6"/>
        <v>0</v>
      </c>
      <c r="U37" s="1">
        <f>IF(AND(A37&gt;Assumptions!$B$39,A37&lt;=Assumptions!$B$39+Assumptions!$B$40),(A37-Assumptions!$B$39)*(Assumptions!$B$40+1-(A37-Assumptions!$B$39)),0)</f>
        <v>0</v>
      </c>
      <c r="V37" s="10">
        <f>R37*Assumptions!$B$45+IF(A37=Assumptions!$B$69,('Returns &amp; Waterfall'!$B$34-'Returns &amp; Waterfall'!$B$29*Assumptions!$B$45),0)</f>
        <v>0</v>
      </c>
      <c r="W37" s="10">
        <f>R37*Assumptions!$B$46-IF(A37=Assumptions!$B$69,('Returns &amp; Waterfall'!$B$34-'Returns &amp; Waterfall'!$B$29*Assumptions!$B$45),0)</f>
        <v>0</v>
      </c>
      <c r="X37" s="10">
        <f>R37-IF(A37=Assumptions!$B$69,'Returns &amp; Waterfall'!$B$45,0)</f>
        <v>0</v>
      </c>
    </row>
    <row r="38" spans="1:24">
      <c r="A38" s="1">
        <v>34</v>
      </c>
      <c r="B38" s="10">
        <f>Assumptions!$B$61*U38/$U$2*(1+Assumptions!$B$89)^MAX(0,A38-Assumptions!$B$39)</f>
        <v>0</v>
      </c>
      <c r="C38" s="10">
        <f>Assumptions!$B$67*U38/$U$2*(1+Assumptions!$B$89)^MAX(0,A38-Assumptions!$B$39)</f>
        <v>0</v>
      </c>
      <c r="D38" s="10">
        <f>Assumptions!$B$30*Sales!$P$62*G38/Assumptions!$B$54+Sales!V59</f>
        <v>0</v>
      </c>
      <c r="E38" s="10">
        <f>IF(A38=0,Assumptions!$B$66,0)</f>
        <v>0</v>
      </c>
      <c r="F38" s="10">
        <f t="shared" si="0"/>
        <v>0</v>
      </c>
      <c r="G38" s="5">
        <f>Sales!H59</f>
        <v>0</v>
      </c>
      <c r="H38" s="5">
        <f>Sales!I59</f>
        <v>95</v>
      </c>
      <c r="I38" s="10">
        <f>Sales!R59</f>
        <v>0</v>
      </c>
      <c r="J38" s="10">
        <f>Sales!S59+Sales!T59</f>
        <v>0</v>
      </c>
      <c r="K38" s="10">
        <f t="shared" si="1"/>
        <v>0</v>
      </c>
      <c r="L38" s="10">
        <f t="shared" si="2"/>
        <v>0</v>
      </c>
      <c r="M38" s="10">
        <f>IF(H38/Assumptions!$B$54&gt;=Assumptions!$B$78,F38*Assumptions!$B$35,0)</f>
        <v>0</v>
      </c>
      <c r="N38" s="10">
        <f t="shared" si="7"/>
        <v>0</v>
      </c>
      <c r="O38" s="10">
        <f>N38*Assumptions!$B$70</f>
        <v>0</v>
      </c>
      <c r="P38" s="10">
        <f t="shared" si="3"/>
        <v>0</v>
      </c>
      <c r="Q38" s="10">
        <f t="shared" si="4"/>
        <v>0</v>
      </c>
      <c r="R38" s="10">
        <f t="shared" si="5"/>
        <v>0</v>
      </c>
      <c r="S38" s="10">
        <f t="shared" si="8"/>
        <v>179822561.70586663</v>
      </c>
      <c r="T38" s="10">
        <f t="shared" si="6"/>
        <v>0</v>
      </c>
      <c r="U38" s="1">
        <f>IF(AND(A38&gt;Assumptions!$B$39,A38&lt;=Assumptions!$B$39+Assumptions!$B$40),(A38-Assumptions!$B$39)*(Assumptions!$B$40+1-(A38-Assumptions!$B$39)),0)</f>
        <v>0</v>
      </c>
      <c r="V38" s="10">
        <f>R38*Assumptions!$B$45+IF(A38=Assumptions!$B$69,('Returns &amp; Waterfall'!$B$34-'Returns &amp; Waterfall'!$B$29*Assumptions!$B$45),0)</f>
        <v>0</v>
      </c>
      <c r="W38" s="10">
        <f>R38*Assumptions!$B$46-IF(A38=Assumptions!$B$69,('Returns &amp; Waterfall'!$B$34-'Returns &amp; Waterfall'!$B$29*Assumptions!$B$45),0)</f>
        <v>0</v>
      </c>
      <c r="X38" s="10">
        <f>R38-IF(A38=Assumptions!$B$69,'Returns &amp; Waterfall'!$B$45,0)</f>
        <v>0</v>
      </c>
    </row>
    <row r="39" spans="1:24">
      <c r="A39" s="1">
        <v>35</v>
      </c>
      <c r="B39" s="10">
        <f>Assumptions!$B$61*U39/$U$2*(1+Assumptions!$B$89)^MAX(0,A39-Assumptions!$B$39)</f>
        <v>0</v>
      </c>
      <c r="C39" s="10">
        <f>Assumptions!$B$67*U39/$U$2*(1+Assumptions!$B$89)^MAX(0,A39-Assumptions!$B$39)</f>
        <v>0</v>
      </c>
      <c r="D39" s="10">
        <f>Assumptions!$B$30*Sales!$P$62*G39/Assumptions!$B$54+Sales!V60</f>
        <v>0</v>
      </c>
      <c r="E39" s="10">
        <f>IF(A39=0,Assumptions!$B$66,0)</f>
        <v>0</v>
      </c>
      <c r="F39" s="10">
        <f t="shared" si="0"/>
        <v>0</v>
      </c>
      <c r="G39" s="5">
        <f>Sales!H60</f>
        <v>0</v>
      </c>
      <c r="H39" s="5">
        <f>Sales!I60</f>
        <v>95</v>
      </c>
      <c r="I39" s="10">
        <f>Sales!R60</f>
        <v>0</v>
      </c>
      <c r="J39" s="10">
        <f>Sales!S60+Sales!T60</f>
        <v>0</v>
      </c>
      <c r="K39" s="10">
        <f t="shared" si="1"/>
        <v>0</v>
      </c>
      <c r="L39" s="10">
        <f t="shared" si="2"/>
        <v>0</v>
      </c>
      <c r="M39" s="10">
        <f>IF(H39/Assumptions!$B$54&gt;=Assumptions!$B$78,F39*Assumptions!$B$35,0)</f>
        <v>0</v>
      </c>
      <c r="N39" s="10">
        <f t="shared" si="7"/>
        <v>0</v>
      </c>
      <c r="O39" s="10">
        <f>N39*Assumptions!$B$70</f>
        <v>0</v>
      </c>
      <c r="P39" s="10">
        <f t="shared" si="3"/>
        <v>0</v>
      </c>
      <c r="Q39" s="10">
        <f t="shared" si="4"/>
        <v>0</v>
      </c>
      <c r="R39" s="10">
        <f t="shared" si="5"/>
        <v>0</v>
      </c>
      <c r="S39" s="10">
        <f t="shared" si="8"/>
        <v>179822561.70586663</v>
      </c>
      <c r="T39" s="10">
        <f t="shared" si="6"/>
        <v>0</v>
      </c>
      <c r="U39" s="1">
        <f>IF(AND(A39&gt;Assumptions!$B$39,A39&lt;=Assumptions!$B$39+Assumptions!$B$40),(A39-Assumptions!$B$39)*(Assumptions!$B$40+1-(A39-Assumptions!$B$39)),0)</f>
        <v>0</v>
      </c>
      <c r="V39" s="10">
        <f>R39*Assumptions!$B$45+IF(A39=Assumptions!$B$69,('Returns &amp; Waterfall'!$B$34-'Returns &amp; Waterfall'!$B$29*Assumptions!$B$45),0)</f>
        <v>0</v>
      </c>
      <c r="W39" s="10">
        <f>R39*Assumptions!$B$46-IF(A39=Assumptions!$B$69,('Returns &amp; Waterfall'!$B$34-'Returns &amp; Waterfall'!$B$29*Assumptions!$B$45),0)</f>
        <v>0</v>
      </c>
      <c r="X39" s="10">
        <f>R39-IF(A39=Assumptions!$B$69,'Returns &amp; Waterfall'!$B$45,0)</f>
        <v>0</v>
      </c>
    </row>
    <row r="40" spans="1:24">
      <c r="A40" s="1">
        <v>36</v>
      </c>
      <c r="B40" s="10">
        <f>Assumptions!$B$61*U40/$U$2*(1+Assumptions!$B$89)^MAX(0,A40-Assumptions!$B$39)</f>
        <v>0</v>
      </c>
      <c r="C40" s="10">
        <f>Assumptions!$B$67*U40/$U$2*(1+Assumptions!$B$89)^MAX(0,A40-Assumptions!$B$39)</f>
        <v>0</v>
      </c>
      <c r="D40" s="10">
        <f>Assumptions!$B$30*Sales!$P$62*G40/Assumptions!$B$54+Sales!V61</f>
        <v>0</v>
      </c>
      <c r="E40" s="10">
        <f>IF(A40=0,Assumptions!$B$66,0)</f>
        <v>0</v>
      </c>
      <c r="F40" s="10">
        <f t="shared" si="0"/>
        <v>0</v>
      </c>
      <c r="G40" s="5">
        <f>Sales!H61</f>
        <v>0</v>
      </c>
      <c r="H40" s="5">
        <f>Sales!I61</f>
        <v>95</v>
      </c>
      <c r="I40" s="10">
        <f>Sales!R61</f>
        <v>0</v>
      </c>
      <c r="J40" s="10">
        <f>Sales!S61+Sales!T61</f>
        <v>0</v>
      </c>
      <c r="K40" s="10">
        <f t="shared" si="1"/>
        <v>0</v>
      </c>
      <c r="L40" s="10">
        <f t="shared" si="2"/>
        <v>0</v>
      </c>
      <c r="M40" s="10">
        <f>IF(H40/Assumptions!$B$54&gt;=Assumptions!$B$78,F40*Assumptions!$B$35,0)</f>
        <v>0</v>
      </c>
      <c r="N40" s="10">
        <f t="shared" si="7"/>
        <v>0</v>
      </c>
      <c r="O40" s="10">
        <f>N40*Assumptions!$B$70</f>
        <v>0</v>
      </c>
      <c r="P40" s="10">
        <f t="shared" si="3"/>
        <v>0</v>
      </c>
      <c r="Q40" s="10">
        <f t="shared" si="4"/>
        <v>0</v>
      </c>
      <c r="R40" s="10">
        <f t="shared" si="5"/>
        <v>0</v>
      </c>
      <c r="S40" s="10">
        <f t="shared" si="8"/>
        <v>179822561.70586663</v>
      </c>
      <c r="T40" s="10">
        <f t="shared" si="6"/>
        <v>0</v>
      </c>
      <c r="U40" s="1">
        <f>IF(AND(A40&gt;Assumptions!$B$39,A40&lt;=Assumptions!$B$39+Assumptions!$B$40),(A40-Assumptions!$B$39)*(Assumptions!$B$40+1-(A40-Assumptions!$B$39)),0)</f>
        <v>0</v>
      </c>
      <c r="V40" s="10">
        <f>R40*Assumptions!$B$45+IF(A40=Assumptions!$B$69,('Returns &amp; Waterfall'!$B$34-'Returns &amp; Waterfall'!$B$29*Assumptions!$B$45),0)</f>
        <v>0</v>
      </c>
      <c r="W40" s="10">
        <f>R40*Assumptions!$B$46-IF(A40=Assumptions!$B$69,('Returns &amp; Waterfall'!$B$34-'Returns &amp; Waterfall'!$B$29*Assumptions!$B$45),0)</f>
        <v>0</v>
      </c>
      <c r="X40" s="10">
        <f>R40-IF(A40=Assumptions!$B$69,'Returns &amp; Waterfall'!$B$45,0)</f>
        <v>0</v>
      </c>
    </row>
    <row r="41" spans="1:24">
      <c r="A41" s="35" t="s">
        <v>192</v>
      </c>
      <c r="B41" s="37">
        <f t="shared" ref="B41:G41" si="9">SUM(B4:B40)</f>
        <v>624178136.90142739</v>
      </c>
      <c r="C41" s="37">
        <f t="shared" si="9"/>
        <v>119835341.35691549</v>
      </c>
      <c r="D41" s="37">
        <f t="shared" si="9"/>
        <v>61562992.922012262</v>
      </c>
      <c r="E41" s="37">
        <f t="shared" si="9"/>
        <v>127200000</v>
      </c>
      <c r="F41" s="37">
        <f t="shared" si="9"/>
        <v>932776471.18035519</v>
      </c>
      <c r="G41" s="36">
        <f t="shared" si="9"/>
        <v>95</v>
      </c>
      <c r="H41" s="35"/>
      <c r="I41" s="37">
        <f>SUM(I4:I40)</f>
        <v>167899071.60548797</v>
      </c>
      <c r="J41" s="37">
        <f>SUM(J4:J40)</f>
        <v>951428072.43109846</v>
      </c>
      <c r="K41" s="37">
        <f>SUM(K4:K40)</f>
        <v>1119327144.0365865</v>
      </c>
      <c r="L41" s="35"/>
      <c r="M41" s="35"/>
      <c r="N41" s="35"/>
      <c r="O41" s="37">
        <f>SUM(O4:O40)</f>
        <v>6728111.150364616</v>
      </c>
      <c r="P41" s="35"/>
      <c r="Q41" s="35"/>
      <c r="R41" s="35"/>
      <c r="S41" s="35"/>
      <c r="T41" s="35"/>
      <c r="U41" s="35"/>
      <c r="V41" s="35"/>
      <c r="W41" s="35"/>
      <c r="X41" s="35"/>
    </row>
  </sheetData>
  <mergeCells count="1">
    <mergeCell ref="A1:X1"/>
  </mergeCells>
  <printOptions horizontalCentered="1"/>
  <pageMargins left="0.27777777777777779" right="0.27777777777777779" top="0.33333333333333331" bottom="0.33333333333333331" header="0.511811023622047" footer="0.511811023622047"/>
  <pageSetup scale="3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65"/>
  <sheetViews>
    <sheetView showGridLines="0" zoomScaleNormal="100" workbookViewId="0">
      <pane ySplit="3" topLeftCell="A4" activePane="bottomLeft" state="frozen"/>
      <selection pane="bottomLeft" activeCell="A4" sqref="A4"/>
    </sheetView>
  </sheetViews>
  <sheetFormatPr defaultColWidth="8.68359375" defaultRowHeight="14.4"/>
  <cols>
    <col min="1" max="1" width="38.578125" customWidth="1"/>
    <col min="2" max="2" width="20.578125" customWidth="1"/>
    <col min="3" max="4" width="3.578125" customWidth="1"/>
    <col min="5" max="5" width="28.578125" customWidth="1"/>
    <col min="6" max="6" width="20.578125" customWidth="1"/>
  </cols>
  <sheetData>
    <row r="1" spans="1:6" ht="32.049999999999997" customHeight="1">
      <c r="A1" s="255" t="s">
        <v>214</v>
      </c>
      <c r="B1" s="255"/>
      <c r="C1" s="255"/>
      <c r="D1" s="8"/>
      <c r="E1" s="8"/>
      <c r="F1" s="8"/>
    </row>
    <row r="2" spans="1:6">
      <c r="A2" s="1"/>
      <c r="B2" s="1"/>
      <c r="C2" s="1"/>
      <c r="D2" s="1"/>
      <c r="E2" s="1"/>
      <c r="F2" s="1"/>
    </row>
    <row r="3" spans="1:6" ht="23.05" customHeight="1">
      <c r="A3" s="201" t="s">
        <v>215</v>
      </c>
      <c r="B3" s="201"/>
      <c r="C3" s="201"/>
      <c r="D3" s="62"/>
      <c r="E3" s="62" t="s">
        <v>44</v>
      </c>
      <c r="F3" s="62"/>
    </row>
    <row r="4" spans="1:6">
      <c r="A4" s="3" t="s">
        <v>216</v>
      </c>
      <c r="B4" s="12">
        <f>SUM(Cashflow!K4:K40)</f>
        <v>1119327144.0365865</v>
      </c>
      <c r="C4" s="1"/>
      <c r="D4" s="1"/>
      <c r="E4" s="1" t="s">
        <v>45</v>
      </c>
      <c r="F4" s="10">
        <f>Assumptions!$B$66</f>
        <v>127200000</v>
      </c>
    </row>
    <row r="5" spans="1:6">
      <c r="A5" s="1" t="s">
        <v>217</v>
      </c>
      <c r="B5" s="10">
        <f>SUM(Cashflow!F4:F40)</f>
        <v>932776471.18035519</v>
      </c>
      <c r="C5" s="1"/>
      <c r="D5" s="1"/>
      <c r="E5" s="1" t="s">
        <v>46</v>
      </c>
      <c r="F5" s="10">
        <f>Assumptions!$B$61</f>
        <v>600440000</v>
      </c>
    </row>
    <row r="6" spans="1:6">
      <c r="A6" s="1" t="s">
        <v>218</v>
      </c>
      <c r="B6" s="10">
        <f>SUM(Cashflow!O4:O40)</f>
        <v>6728111.150364616</v>
      </c>
      <c r="C6" s="1"/>
      <c r="D6" s="1"/>
      <c r="E6" s="1" t="s">
        <v>47</v>
      </c>
      <c r="F6" s="10">
        <f>Assumptions!$B$62</f>
        <v>60044000</v>
      </c>
    </row>
    <row r="7" spans="1:6">
      <c r="A7" s="1" t="s">
        <v>29</v>
      </c>
      <c r="B7" s="10">
        <f>MAX(Cashflow!Q4:Q40)</f>
        <v>128246754.30367941</v>
      </c>
      <c r="C7" s="1"/>
      <c r="D7" s="1"/>
      <c r="E7" s="1" t="s">
        <v>48</v>
      </c>
      <c r="F7" s="10">
        <f>Assumptions!$B$63</f>
        <v>46233880.000000007</v>
      </c>
    </row>
    <row r="8" spans="1:6">
      <c r="A8" s="1" t="s">
        <v>52</v>
      </c>
      <c r="B8" s="10">
        <f>B7*Assumptions!$B$36</f>
        <v>1923701.314555191</v>
      </c>
      <c r="C8" s="1"/>
      <c r="D8" s="1"/>
      <c r="E8" s="1" t="s">
        <v>49</v>
      </c>
      <c r="F8" s="10">
        <f>Assumptions!$B$64</f>
        <v>9000000</v>
      </c>
    </row>
    <row r="9" spans="1:6">
      <c r="A9" s="69" t="s">
        <v>219</v>
      </c>
      <c r="B9" s="12">
        <f>B5+B6+B8</f>
        <v>941428283.645275</v>
      </c>
      <c r="C9" s="1"/>
      <c r="D9" s="1"/>
      <c r="E9" s="1" t="s">
        <v>220</v>
      </c>
      <c r="F9" s="10">
        <f>Assumptions!$B$30*Sales!$P$62+Sales!$V$62</f>
        <v>61562992.922012262</v>
      </c>
    </row>
    <row r="10" spans="1:6">
      <c r="A10" s="69" t="s">
        <v>55</v>
      </c>
      <c r="B10" s="12">
        <f>B4-B9</f>
        <v>177898860.39131153</v>
      </c>
      <c r="C10" s="1"/>
      <c r="D10" s="1"/>
      <c r="E10" s="1" t="s">
        <v>51</v>
      </c>
      <c r="F10" s="10">
        <f>B6</f>
        <v>6728111.150364616</v>
      </c>
    </row>
    <row r="11" spans="1:6">
      <c r="A11" s="3" t="s">
        <v>221</v>
      </c>
      <c r="B11" s="14">
        <f>B10/B9</f>
        <v>0.18896698079058652</v>
      </c>
      <c r="C11" s="1"/>
      <c r="D11" s="1"/>
      <c r="E11" s="1" t="s">
        <v>52</v>
      </c>
      <c r="F11" s="10">
        <f>B8</f>
        <v>1923701.314555191</v>
      </c>
    </row>
    <row r="12" spans="1:6">
      <c r="A12" s="69" t="s">
        <v>222</v>
      </c>
      <c r="B12" s="15">
        <f>B10/B4</f>
        <v>0.15893374992208417</v>
      </c>
      <c r="C12" s="1"/>
      <c r="D12" s="1"/>
      <c r="E12" s="3" t="s">
        <v>223</v>
      </c>
      <c r="F12" s="12">
        <f>SUM(F4:F11)</f>
        <v>913132685.38693202</v>
      </c>
    </row>
    <row r="13" spans="1:6">
      <c r="A13" s="1"/>
      <c r="B13" s="1"/>
      <c r="C13" s="1"/>
      <c r="D13" s="1"/>
      <c r="E13" s="1"/>
      <c r="F13" s="1"/>
    </row>
    <row r="14" spans="1:6" ht="23.05" customHeight="1">
      <c r="A14" s="201" t="s">
        <v>224</v>
      </c>
      <c r="B14" s="201"/>
      <c r="C14" s="201"/>
      <c r="D14" s="62"/>
      <c r="E14" s="62"/>
      <c r="F14" s="62"/>
    </row>
    <row r="15" spans="1:6">
      <c r="A15" s="3" t="s">
        <v>28</v>
      </c>
      <c r="B15" s="12">
        <f>-MIN(Cashflow!S4:S40)</f>
        <v>277444576.59878397</v>
      </c>
      <c r="C15" s="1"/>
      <c r="D15" s="1"/>
      <c r="E15" s="1"/>
      <c r="F15" s="1"/>
    </row>
    <row r="16" spans="1:6">
      <c r="A16" s="1" t="s">
        <v>225</v>
      </c>
      <c r="B16" s="10">
        <f>-SUMIF(Cashflow!R4:R40,"&lt;0")</f>
        <v>402113112.38467586</v>
      </c>
      <c r="C16" s="1"/>
      <c r="D16" s="1"/>
      <c r="E16" s="1"/>
      <c r="F16" s="1"/>
    </row>
    <row r="17" spans="1:6">
      <c r="A17" s="1" t="s">
        <v>226</v>
      </c>
      <c r="B17" s="10">
        <f>SUMIF(Cashflow!R4:R40,"&gt;0")</f>
        <v>581935674.09054255</v>
      </c>
      <c r="C17" s="1"/>
      <c r="D17" s="1"/>
      <c r="E17" s="1"/>
      <c r="F17" s="1"/>
    </row>
    <row r="18" spans="1:6">
      <c r="A18" s="69" t="s">
        <v>227</v>
      </c>
      <c r="B18" s="13">
        <f>B17/B16</f>
        <v>1.4471939764397486</v>
      </c>
      <c r="C18" s="1"/>
      <c r="D18" s="1"/>
      <c r="E18" s="1"/>
      <c r="F18" s="1"/>
    </row>
    <row r="19" spans="1:6">
      <c r="A19" s="1" t="s">
        <v>228</v>
      </c>
      <c r="B19" s="16">
        <f>IRR(Cashflow!T4:T40,0.02)</f>
        <v>3.3472625825480273E-2</v>
      </c>
      <c r="C19" s="1"/>
      <c r="D19" s="1"/>
      <c r="E19" s="1"/>
      <c r="F19" s="1"/>
    </row>
    <row r="20" spans="1:6">
      <c r="A20" s="69" t="s">
        <v>229</v>
      </c>
      <c r="B20" s="14">
        <f>IFERROR((1+B19)^12-1,"")</f>
        <v>0.48452574126088699</v>
      </c>
      <c r="C20" s="1"/>
      <c r="D20" s="1"/>
      <c r="E20" s="1"/>
      <c r="F20" s="1"/>
    </row>
    <row r="21" spans="1:6">
      <c r="A21" s="1" t="s">
        <v>230</v>
      </c>
      <c r="B21" s="16">
        <f>IRR(Cashflow!R4:R40,0.02)</f>
        <v>3.506462543079758E-2</v>
      </c>
      <c r="C21" s="1"/>
      <c r="D21" s="1"/>
      <c r="E21" s="1"/>
      <c r="F21" s="1"/>
    </row>
    <row r="22" spans="1:6">
      <c r="A22" s="69" t="s">
        <v>231</v>
      </c>
      <c r="B22" s="14">
        <f>IFERROR((1+B21)^12-1,"")</f>
        <v>0.51220126031557789</v>
      </c>
      <c r="C22" s="1"/>
      <c r="D22" s="1"/>
      <c r="E22" s="1"/>
      <c r="F22" s="1"/>
    </row>
    <row r="23" spans="1:6">
      <c r="A23" s="69" t="s">
        <v>232</v>
      </c>
      <c r="B23" s="10">
        <f>NPV((1+Assumptions!$B$51)^(1/12)-1,Cashflow!T5:T40)+Cashflow!T4</f>
        <v>91172606.882908762</v>
      </c>
      <c r="C23" s="1"/>
      <c r="D23" s="1"/>
      <c r="E23" s="1"/>
      <c r="F23" s="1"/>
    </row>
    <row r="24" spans="1:6">
      <c r="A24" s="1"/>
      <c r="B24" s="1"/>
      <c r="C24" s="1"/>
      <c r="D24" s="1"/>
      <c r="E24" s="1"/>
      <c r="F24" s="1"/>
    </row>
    <row r="25" spans="1:6" ht="23.05" customHeight="1">
      <c r="A25" s="201" t="s">
        <v>233</v>
      </c>
      <c r="B25" s="201"/>
      <c r="C25" s="201"/>
      <c r="D25" s="62"/>
      <c r="E25" s="62"/>
      <c r="F25" s="62"/>
    </row>
    <row r="26" spans="1:6">
      <c r="A26" s="1" t="s">
        <v>234</v>
      </c>
      <c r="B26" s="18">
        <f>(MAX(Assumptions!B69,Assumptions!B41+Assumptions!B54/Assumptions!E20)+1)/12</f>
        <v>1.8333333333333333</v>
      </c>
      <c r="C26" s="1"/>
      <c r="D26" s="1"/>
      <c r="E26" s="1"/>
      <c r="F26" s="1"/>
    </row>
    <row r="27" spans="1:6">
      <c r="A27" s="1" t="s">
        <v>235</v>
      </c>
      <c r="B27" s="10">
        <f>B16*Assumptions!$B$45</f>
        <v>361901801.14620829</v>
      </c>
      <c r="C27" s="1"/>
      <c r="D27" s="1"/>
      <c r="E27" s="1"/>
      <c r="F27" s="1"/>
    </row>
    <row r="28" spans="1:6">
      <c r="A28" s="1" t="s">
        <v>236</v>
      </c>
      <c r="B28" s="10">
        <f>B16*Assumptions!$B$46</f>
        <v>40211311.238467574</v>
      </c>
      <c r="C28" s="1"/>
      <c r="D28" s="1"/>
      <c r="E28" s="1"/>
      <c r="F28" s="1"/>
    </row>
    <row r="29" spans="1:6">
      <c r="A29" s="3" t="s">
        <v>237</v>
      </c>
      <c r="B29" s="12">
        <f>B17-B16</f>
        <v>179822561.70586669</v>
      </c>
      <c r="C29" s="1"/>
      <c r="D29" s="1"/>
      <c r="E29" s="1"/>
      <c r="F29" s="1"/>
    </row>
    <row r="30" spans="1:6">
      <c r="A30" s="1" t="s">
        <v>238</v>
      </c>
      <c r="B30" s="10">
        <f>B27*((1+Assumptions!$B$47)^B26-1)</f>
        <v>83573660.035078764</v>
      </c>
      <c r="C30" s="1"/>
      <c r="D30" s="1"/>
      <c r="E30" s="1"/>
      <c r="F30" s="1"/>
    </row>
    <row r="31" spans="1:6">
      <c r="A31" s="1" t="s">
        <v>239</v>
      </c>
      <c r="B31" s="10">
        <f>MIN(B30,MAX(B29,0))</f>
        <v>83573660.035078764</v>
      </c>
      <c r="C31" s="1"/>
      <c r="D31" s="1"/>
      <c r="E31" s="1"/>
      <c r="F31" s="1"/>
    </row>
    <row r="32" spans="1:6">
      <c r="A32" s="1" t="s">
        <v>240</v>
      </c>
      <c r="B32" s="10">
        <f>MAX(0,B29-B31)</f>
        <v>96248901.67078793</v>
      </c>
      <c r="C32" s="1"/>
      <c r="D32" s="1"/>
      <c r="E32" s="1"/>
      <c r="F32" s="1"/>
    </row>
    <row r="33" spans="1:6">
      <c r="A33" s="1" t="s">
        <v>241</v>
      </c>
      <c r="B33" s="10">
        <f>B32*Assumptions!$B$48</f>
        <v>19249780.334157586</v>
      </c>
      <c r="C33" s="1"/>
      <c r="D33" s="1"/>
      <c r="E33" s="1"/>
      <c r="F33" s="1"/>
    </row>
    <row r="34" spans="1:6">
      <c r="A34" s="1" t="s">
        <v>242</v>
      </c>
      <c r="B34" s="10">
        <f>B31+B32*(1-Assumptions!$B$48)</f>
        <v>160572781.37170911</v>
      </c>
      <c r="C34" s="1"/>
      <c r="D34" s="1"/>
      <c r="E34" s="1"/>
      <c r="F34" s="1"/>
    </row>
    <row r="35" spans="1:6">
      <c r="A35" s="1" t="s">
        <v>243</v>
      </c>
      <c r="B35" s="10">
        <f>B29-B34</f>
        <v>19249780.334157586</v>
      </c>
      <c r="C35" s="1"/>
      <c r="D35" s="1"/>
      <c r="E35" s="1"/>
      <c r="F35" s="1"/>
    </row>
    <row r="36" spans="1:6">
      <c r="A36" s="3" t="s">
        <v>244</v>
      </c>
      <c r="B36" s="13">
        <f>(B27+B34)/B27</f>
        <v>1.4436915783871374</v>
      </c>
      <c r="C36" s="1"/>
      <c r="D36" s="1"/>
      <c r="E36" s="1"/>
      <c r="F36" s="1"/>
    </row>
    <row r="37" spans="1:6">
      <c r="A37" s="3" t="s">
        <v>245</v>
      </c>
      <c r="B37" s="13">
        <f>(B28+B35)/B28</f>
        <v>1.4787155589132484</v>
      </c>
      <c r="C37" s="1"/>
      <c r="D37" s="1"/>
      <c r="E37" s="1"/>
      <c r="F37" s="1"/>
    </row>
    <row r="38" spans="1:6">
      <c r="A38" s="1"/>
      <c r="B38" s="1"/>
      <c r="C38" s="1"/>
      <c r="D38" s="1"/>
      <c r="E38" s="1"/>
      <c r="F38" s="1"/>
    </row>
    <row r="39" spans="1:6" ht="23.05" customHeight="1">
      <c r="A39" s="201" t="s">
        <v>246</v>
      </c>
      <c r="B39" s="201"/>
      <c r="C39" s="201"/>
      <c r="D39" s="62"/>
      <c r="E39" s="62"/>
      <c r="F39" s="62"/>
    </row>
    <row r="40" spans="1:6">
      <c r="A40" s="1" t="s">
        <v>247</v>
      </c>
      <c r="B40" s="10">
        <f>B4-Assumptions!$B$59</f>
        <v>8191144.0365865231</v>
      </c>
      <c r="C40" s="1"/>
      <c r="D40" s="1"/>
      <c r="E40" s="1"/>
      <c r="F40" s="1"/>
    </row>
    <row r="41" spans="1:6">
      <c r="A41" s="2" t="s">
        <v>248</v>
      </c>
      <c r="B41" s="1"/>
      <c r="C41" s="1"/>
      <c r="D41" s="1"/>
      <c r="E41" s="1"/>
      <c r="F41" s="1"/>
    </row>
    <row r="42" spans="1:6">
      <c r="A42" s="1"/>
      <c r="B42" s="1"/>
      <c r="C42" s="1"/>
      <c r="D42" s="1"/>
      <c r="E42" s="1"/>
      <c r="F42" s="1"/>
    </row>
    <row r="43" spans="1:6" ht="23.05" customHeight="1">
      <c r="A43" s="201" t="s">
        <v>249</v>
      </c>
      <c r="B43" s="201"/>
      <c r="C43" s="201"/>
      <c r="D43" s="62"/>
      <c r="E43" s="62"/>
      <c r="F43" s="62"/>
    </row>
    <row r="44" spans="1:6">
      <c r="A44" s="1" t="s">
        <v>250</v>
      </c>
      <c r="B44" s="15">
        <f>Assumptions!$B$75</f>
        <v>0.3</v>
      </c>
      <c r="C44" s="1"/>
      <c r="D44" s="1"/>
      <c r="E44" s="1"/>
      <c r="F44" s="1"/>
    </row>
    <row r="45" spans="1:6">
      <c r="A45" s="1" t="s">
        <v>251</v>
      </c>
      <c r="B45" s="10">
        <f>MAX(0,B10)*B44</f>
        <v>53369658.117393456</v>
      </c>
      <c r="C45" s="1"/>
      <c r="D45" s="1"/>
      <c r="E45" s="1"/>
      <c r="F45" s="1"/>
    </row>
    <row r="46" spans="1:6">
      <c r="A46" s="69" t="s">
        <v>252</v>
      </c>
      <c r="B46" s="12">
        <f>B10-B45</f>
        <v>124529202.27391806</v>
      </c>
      <c r="C46" s="1"/>
      <c r="D46" s="1"/>
      <c r="E46" s="1"/>
      <c r="F46" s="1"/>
    </row>
    <row r="47" spans="1:6">
      <c r="A47" s="69" t="s">
        <v>253</v>
      </c>
      <c r="B47" s="14">
        <f>B46/B9</f>
        <v>0.13227688655341058</v>
      </c>
      <c r="C47" s="1"/>
      <c r="D47" s="1"/>
      <c r="E47" s="1"/>
      <c r="F47" s="1"/>
    </row>
    <row r="48" spans="1:6">
      <c r="A48" s="69" t="s">
        <v>254</v>
      </c>
      <c r="B48" s="13">
        <f>(B17-B45)/B16</f>
        <v>1.3144709776773056</v>
      </c>
      <c r="C48" s="1"/>
      <c r="D48" s="1"/>
      <c r="E48" s="1"/>
      <c r="F48" s="1"/>
    </row>
    <row r="49" spans="1:6">
      <c r="A49" s="1" t="s">
        <v>255</v>
      </c>
      <c r="B49" s="16">
        <f>IRR(Cashflow!X4:X40,0.02)</f>
        <v>2.6799060722347612E-2</v>
      </c>
      <c r="C49" s="1"/>
      <c r="D49" s="1"/>
      <c r="E49" s="1"/>
      <c r="F49" s="1"/>
    </row>
    <row r="50" spans="1:6">
      <c r="A50" s="69" t="s">
        <v>256</v>
      </c>
      <c r="B50" s="14">
        <f>IFERROR((1+B49)^12-1,"")</f>
        <v>0.37349016093448806</v>
      </c>
      <c r="C50" s="1"/>
      <c r="D50" s="1"/>
      <c r="E50" s="1"/>
      <c r="F50" s="1"/>
    </row>
    <row r="51" spans="1:6">
      <c r="A51" s="1"/>
      <c r="B51" s="1"/>
      <c r="C51" s="1"/>
      <c r="D51" s="1"/>
      <c r="E51" s="1"/>
      <c r="F51" s="1"/>
    </row>
    <row r="52" spans="1:6" ht="23.05" customHeight="1">
      <c r="A52" s="201" t="s">
        <v>257</v>
      </c>
      <c r="B52" s="201"/>
      <c r="C52" s="201"/>
      <c r="D52" s="62"/>
      <c r="E52" s="62"/>
      <c r="F52" s="62"/>
    </row>
    <row r="53" spans="1:6">
      <c r="A53" s="1" t="s">
        <v>258</v>
      </c>
      <c r="B53" s="16">
        <f>IRR(Cashflow!V4:V40,0.02)</f>
        <v>3.4861824866793567E-2</v>
      </c>
      <c r="C53" s="1"/>
      <c r="D53" s="1"/>
      <c r="E53" s="1"/>
      <c r="F53" s="1"/>
    </row>
    <row r="54" spans="1:6">
      <c r="A54" s="69" t="s">
        <v>259</v>
      </c>
      <c r="B54" s="14">
        <f>IFERROR((1+B53)^12-1,"")</f>
        <v>0.50864965592392175</v>
      </c>
      <c r="C54" s="1"/>
      <c r="D54" s="1"/>
      <c r="E54" s="1"/>
      <c r="F54" s="1"/>
    </row>
    <row r="55" spans="1:6">
      <c r="A55" s="1" t="s">
        <v>260</v>
      </c>
      <c r="B55" s="16">
        <f>IRR(Cashflow!W4:W40,0.02)</f>
        <v>3.685680635530475E-2</v>
      </c>
      <c r="C55" s="1"/>
      <c r="D55" s="1"/>
      <c r="E55" s="1"/>
      <c r="F55" s="1"/>
    </row>
    <row r="56" spans="1:6">
      <c r="A56" s="69" t="s">
        <v>261</v>
      </c>
      <c r="B56" s="14">
        <f>IFERROR((1+B55)^12-1,"")</f>
        <v>0.54392213918736676</v>
      </c>
      <c r="C56" s="1"/>
      <c r="D56" s="1"/>
      <c r="E56" s="1"/>
      <c r="F56" s="1"/>
    </row>
    <row r="57" spans="1:6">
      <c r="A57" s="1"/>
      <c r="B57" s="1"/>
      <c r="C57" s="1"/>
      <c r="D57" s="1"/>
      <c r="E57" s="1"/>
      <c r="F57" s="1"/>
    </row>
    <row r="58" spans="1:6" ht="23.05" customHeight="1">
      <c r="A58" s="201" t="s">
        <v>262</v>
      </c>
      <c r="B58" s="201"/>
      <c r="C58" s="201"/>
      <c r="D58" s="62"/>
      <c r="E58" s="62"/>
      <c r="F58" s="62"/>
    </row>
    <row r="59" spans="1:6">
      <c r="A59" s="1" t="s">
        <v>123</v>
      </c>
      <c r="B59" s="5">
        <f>Assumptions!$B$55</f>
        <v>7064</v>
      </c>
      <c r="C59" s="1"/>
      <c r="D59" s="1"/>
      <c r="E59" s="1"/>
      <c r="F59" s="1"/>
    </row>
    <row r="60" spans="1:6">
      <c r="A60" s="1" t="s">
        <v>263</v>
      </c>
      <c r="B60" s="10">
        <f>B59*Assumptions!$B$82*12*(1-Assumptions!$B$83)*(1-Assumptions!$B$84)</f>
        <v>51861062.399999999</v>
      </c>
      <c r="C60" s="1"/>
      <c r="D60" s="1"/>
      <c r="E60" s="1"/>
      <c r="F60" s="1"/>
    </row>
    <row r="61" spans="1:6">
      <c r="A61" s="3" t="s">
        <v>264</v>
      </c>
      <c r="B61" s="12">
        <f>B60/Assumptions!$B$85</f>
        <v>610130145.88235283</v>
      </c>
      <c r="C61" s="1"/>
      <c r="D61" s="1"/>
      <c r="E61" s="1"/>
      <c r="F61" s="1"/>
    </row>
    <row r="62" spans="1:6">
      <c r="A62" s="1" t="s">
        <v>265</v>
      </c>
      <c r="B62" s="15">
        <f>B60/B9</f>
        <v>5.5087640026269875E-2</v>
      </c>
      <c r="C62" s="1"/>
      <c r="D62" s="1"/>
      <c r="E62" s="1"/>
      <c r="F62" s="1"/>
    </row>
    <row r="63" spans="1:6">
      <c r="A63" s="1" t="s">
        <v>266</v>
      </c>
      <c r="B63" s="10">
        <f>B61-B9</f>
        <v>-331298137.76292217</v>
      </c>
      <c r="C63" s="1"/>
      <c r="D63" s="1"/>
      <c r="E63" s="1"/>
      <c r="F63" s="1"/>
    </row>
    <row r="64" spans="1:6">
      <c r="A64" s="1" t="s">
        <v>267</v>
      </c>
      <c r="B64" s="10">
        <f>B10</f>
        <v>177898860.39131153</v>
      </c>
      <c r="C64" s="1"/>
      <c r="D64" s="1"/>
      <c r="E64" s="1"/>
      <c r="F64" s="1"/>
    </row>
    <row r="65" spans="1:6">
      <c r="A65" s="69" t="s">
        <v>268</v>
      </c>
      <c r="B65" s="4" t="str">
        <f>IF(B63&gt;B64,"Build to rent","Build to sell")</f>
        <v>Build to sell</v>
      </c>
      <c r="C65" s="1"/>
      <c r="D65" s="1"/>
      <c r="E65" s="1"/>
      <c r="F65" s="1"/>
    </row>
  </sheetData>
  <mergeCells count="8">
    <mergeCell ref="A43:C43"/>
    <mergeCell ref="A52:C52"/>
    <mergeCell ref="A58:C58"/>
    <mergeCell ref="A1:C1"/>
    <mergeCell ref="A3:C3"/>
    <mergeCell ref="A14:C14"/>
    <mergeCell ref="A25:C25"/>
    <mergeCell ref="A39:C39"/>
  </mergeCells>
  <printOptions horizontalCentered="1"/>
  <pageMargins left="0.27777777777777779" right="0.27777777777777779" top="0.33333333333333331" bottom="0.33333333333333331" header="0.511811023622047" footer="0.511811023622047"/>
  <pageSetup scale="54"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20"/>
  <sheetViews>
    <sheetView showGridLines="0"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ColWidth="8.68359375" defaultRowHeight="14.4"/>
  <cols>
    <col min="1" max="1" width="4.578125" customWidth="1"/>
    <col min="2" max="2" width="18.578125" customWidth="1"/>
    <col min="3" max="7" width="15.578125" customWidth="1"/>
    <col min="8" max="8" width="13" customWidth="1"/>
  </cols>
  <sheetData>
    <row r="1" spans="1:7" ht="32.049999999999997" customHeight="1">
      <c r="A1" s="255" t="s">
        <v>269</v>
      </c>
      <c r="B1" s="255"/>
      <c r="C1" s="255"/>
      <c r="D1" s="255"/>
      <c r="E1" s="255"/>
      <c r="F1" s="255"/>
      <c r="G1" s="255"/>
    </row>
    <row r="2" spans="1:7">
      <c r="A2" s="1"/>
      <c r="B2" s="1"/>
      <c r="C2" s="1"/>
      <c r="D2" s="1"/>
      <c r="E2" s="1"/>
      <c r="F2" s="1"/>
      <c r="G2" s="1"/>
    </row>
    <row r="3" spans="1:7" ht="15.9">
      <c r="A3" s="72" t="s">
        <v>221</v>
      </c>
      <c r="B3" s="73"/>
      <c r="C3" s="74" t="s">
        <v>270</v>
      </c>
      <c r="D3" s="73"/>
      <c r="E3" s="73"/>
      <c r="F3" s="73"/>
      <c r="G3" s="73"/>
    </row>
    <row r="4" spans="1:7">
      <c r="A4" s="1"/>
      <c r="B4" s="33" t="s">
        <v>271</v>
      </c>
      <c r="C4" s="71">
        <v>0.9</v>
      </c>
      <c r="D4" s="71">
        <v>0.95</v>
      </c>
      <c r="E4" s="71">
        <v>1</v>
      </c>
      <c r="F4" s="71">
        <v>1.05</v>
      </c>
      <c r="G4" s="71">
        <v>1.1000000000000001</v>
      </c>
    </row>
    <row r="5" spans="1:7">
      <c r="A5" s="1"/>
      <c r="B5" s="11">
        <v>58000</v>
      </c>
      <c r="C5" s="70">
        <f>((Assumptions!$F$12*C$4+Assumptions!$B$58)-(((Assumptions!$B$56*$B5)+((Assumptions!$B$56*$B5)*Assumptions!$B$27)+(((Assumptions!$B$56*$B5)+((Assumptions!$B$56*$B5)*Assumptions!$B$27))*Assumptions!$B$29)+Assumptions!$B$28+((Assumptions!$F$12*C$4+Assumptions!$B$58)*Assumptions!$B$30)+Assumptions!$B$31*(1+Assumptions!$B$32))+(Assumptions!$B$35*((Assumptions!$B$56*$B5)+((Assumptions!$B$56*$B5)*Assumptions!$B$27)+(((Assumptions!$B$56*$B5)+((Assumptions!$B$56*$B5)*Assumptions!$B$27))*Assumptions!$B$29)+Assumptions!$B$28+((Assumptions!$F$12*C$4+Assumptions!$B$58)*Assumptions!$B$30)+Assumptions!$B$31*(1+Assumptions!$B$32))*Assumptions!$E$19*'Returns &amp; Waterfall'!$B$26*0.55)+(Assumptions!$B$35*((Assumptions!$B$56*$B5)+((Assumptions!$B$56*$B5)*Assumptions!$B$27)+(((Assumptions!$B$56*$B5)+((Assumptions!$B$56*$B5)*Assumptions!$B$27))*Assumptions!$B$29)+Assumptions!$B$28+((Assumptions!$F$12*C$4+Assumptions!$B$58)*Assumptions!$B$30)+Assumptions!$B$31*(1+Assumptions!$B$32))*Assumptions!$B$36)))/(((Assumptions!$B$56*$B5)+((Assumptions!$B$56*$B5)*Assumptions!$B$27)+(((Assumptions!$B$56*$B5)+((Assumptions!$B$56*$B5)*Assumptions!$B$27))*Assumptions!$B$29)+Assumptions!$B$28+((Assumptions!$F$12*C$4+Assumptions!$B$58)*Assumptions!$B$30)+Assumptions!$B$31*(1+Assumptions!$B$32))+(Assumptions!$B$35*((Assumptions!$B$56*$B5)+((Assumptions!$B$56*$B5)*Assumptions!$B$27)+(((Assumptions!$B$56*$B5)+((Assumptions!$B$56*$B5)*Assumptions!$B$27))*Assumptions!$B$29)+Assumptions!$B$28+((Assumptions!$F$12*C$4+Assumptions!$B$58)*Assumptions!$B$30)+Assumptions!$B$31*(1+Assumptions!$B$32))*Assumptions!$E$19*'Returns &amp; Waterfall'!$B$26*0.55)+(Assumptions!$B$35*((Assumptions!$B$56*$B5)+((Assumptions!$B$56*$B5)*Assumptions!$B$27)+(((Assumptions!$B$56*$B5)+((Assumptions!$B$56*$B5)*Assumptions!$B$27))*Assumptions!$B$29)+Assumptions!$B$28+((Assumptions!$F$12*C$4+Assumptions!$B$58)*Assumptions!$B$30)+Assumptions!$B$31*(1+Assumptions!$B$32))*Assumptions!$B$36))</f>
        <v>0.18550453455944502</v>
      </c>
      <c r="D5" s="70">
        <f>((Assumptions!$F$12*D$4+Assumptions!$B$58)-(((Assumptions!$B$56*$B5)+((Assumptions!$B$56*$B5)*Assumptions!$B$27)+(((Assumptions!$B$56*$B5)+((Assumptions!$B$56*$B5)*Assumptions!$B$27))*Assumptions!$B$29)+Assumptions!$B$28+((Assumptions!$F$12*D$4+Assumptions!$B$58)*Assumptions!$B$30)+Assumptions!$B$31*(1+Assumptions!$B$32))+(Assumptions!$B$35*((Assumptions!$B$56*$B5)+((Assumptions!$B$56*$B5)*Assumptions!$B$27)+(((Assumptions!$B$56*$B5)+((Assumptions!$B$56*$B5)*Assumptions!$B$27))*Assumptions!$B$29)+Assumptions!$B$28+((Assumptions!$F$12*D$4+Assumptions!$B$58)*Assumptions!$B$30)+Assumptions!$B$31*(1+Assumptions!$B$32))*Assumptions!$E$19*'Returns &amp; Waterfall'!$B$26*0.55)+(Assumptions!$B$35*((Assumptions!$B$56*$B5)+((Assumptions!$B$56*$B5)*Assumptions!$B$27)+(((Assumptions!$B$56*$B5)+((Assumptions!$B$56*$B5)*Assumptions!$B$27))*Assumptions!$B$29)+Assumptions!$B$28+((Assumptions!$F$12*D$4+Assumptions!$B$58)*Assumptions!$B$30)+Assumptions!$B$31*(1+Assumptions!$B$32))*Assumptions!$B$36)))/(((Assumptions!$B$56*$B5)+((Assumptions!$B$56*$B5)*Assumptions!$B$27)+(((Assumptions!$B$56*$B5)+((Assumptions!$B$56*$B5)*Assumptions!$B$27))*Assumptions!$B$29)+Assumptions!$B$28+((Assumptions!$F$12*D$4+Assumptions!$B$58)*Assumptions!$B$30)+Assumptions!$B$31*(1+Assumptions!$B$32))+(Assumptions!$B$35*((Assumptions!$B$56*$B5)+((Assumptions!$B$56*$B5)*Assumptions!$B$27)+(((Assumptions!$B$56*$B5)+((Assumptions!$B$56*$B5)*Assumptions!$B$27))*Assumptions!$B$29)+Assumptions!$B$28+((Assumptions!$F$12*D$4+Assumptions!$B$58)*Assumptions!$B$30)+Assumptions!$B$31*(1+Assumptions!$B$32))*Assumptions!$E$19*'Returns &amp; Waterfall'!$B$26*0.55)+(Assumptions!$B$35*((Assumptions!$B$56*$B5)+((Assumptions!$B$56*$B5)*Assumptions!$B$27)+(((Assumptions!$B$56*$B5)+((Assumptions!$B$56*$B5)*Assumptions!$B$27))*Assumptions!$B$29)+Assumptions!$B$28+((Assumptions!$F$12*D$4+Assumptions!$B$58)*Assumptions!$B$30)+Assumptions!$B$31*(1+Assumptions!$B$32))*Assumptions!$B$36))</f>
        <v>0.24338938072358723</v>
      </c>
      <c r="E5" s="70">
        <f>((Assumptions!$F$12*E$4+Assumptions!$B$58)-(((Assumptions!$B$56*$B5)+((Assumptions!$B$56*$B5)*Assumptions!$B$27)+(((Assumptions!$B$56*$B5)+((Assumptions!$B$56*$B5)*Assumptions!$B$27))*Assumptions!$B$29)+Assumptions!$B$28+((Assumptions!$F$12*E$4+Assumptions!$B$58)*Assumptions!$B$30)+Assumptions!$B$31*(1+Assumptions!$B$32))+(Assumptions!$B$35*((Assumptions!$B$56*$B5)+((Assumptions!$B$56*$B5)*Assumptions!$B$27)+(((Assumptions!$B$56*$B5)+((Assumptions!$B$56*$B5)*Assumptions!$B$27))*Assumptions!$B$29)+Assumptions!$B$28+((Assumptions!$F$12*E$4+Assumptions!$B$58)*Assumptions!$B$30)+Assumptions!$B$31*(1+Assumptions!$B$32))*Assumptions!$E$19*'Returns &amp; Waterfall'!$B$26*0.55)+(Assumptions!$B$35*((Assumptions!$B$56*$B5)+((Assumptions!$B$56*$B5)*Assumptions!$B$27)+(((Assumptions!$B$56*$B5)+((Assumptions!$B$56*$B5)*Assumptions!$B$27))*Assumptions!$B$29)+Assumptions!$B$28+((Assumptions!$F$12*E$4+Assumptions!$B$58)*Assumptions!$B$30)+Assumptions!$B$31*(1+Assumptions!$B$32))*Assumptions!$B$36)))/(((Assumptions!$B$56*$B5)+((Assumptions!$B$56*$B5)*Assumptions!$B$27)+(((Assumptions!$B$56*$B5)+((Assumptions!$B$56*$B5)*Assumptions!$B$27))*Assumptions!$B$29)+Assumptions!$B$28+((Assumptions!$F$12*E$4+Assumptions!$B$58)*Assumptions!$B$30)+Assumptions!$B$31*(1+Assumptions!$B$32))+(Assumptions!$B$35*((Assumptions!$B$56*$B5)+((Assumptions!$B$56*$B5)*Assumptions!$B$27)+(((Assumptions!$B$56*$B5)+((Assumptions!$B$56*$B5)*Assumptions!$B$27))*Assumptions!$B$29)+Assumptions!$B$28+((Assumptions!$F$12*E$4+Assumptions!$B$58)*Assumptions!$B$30)+Assumptions!$B$31*(1+Assumptions!$B$32))*Assumptions!$E$19*'Returns &amp; Waterfall'!$B$26*0.55)+(Assumptions!$B$35*((Assumptions!$B$56*$B5)+((Assumptions!$B$56*$B5)*Assumptions!$B$27)+(((Assumptions!$B$56*$B5)+((Assumptions!$B$56*$B5)*Assumptions!$B$27))*Assumptions!$B$29)+Assumptions!$B$28+((Assumptions!$F$12*E$4+Assumptions!$B$58)*Assumptions!$B$30)+Assumptions!$B$31*(1+Assumptions!$B$32))*Assumptions!$B$36))</f>
        <v>0.30104327835922273</v>
      </c>
      <c r="F5" s="70">
        <f>((Assumptions!$F$12*F$4+Assumptions!$B$58)-(((Assumptions!$B$56*$B5)+((Assumptions!$B$56*$B5)*Assumptions!$B$27)+(((Assumptions!$B$56*$B5)+((Assumptions!$B$56*$B5)*Assumptions!$B$27))*Assumptions!$B$29)+Assumptions!$B$28+((Assumptions!$F$12*F$4+Assumptions!$B$58)*Assumptions!$B$30)+Assumptions!$B$31*(1+Assumptions!$B$32))+(Assumptions!$B$35*((Assumptions!$B$56*$B5)+((Assumptions!$B$56*$B5)*Assumptions!$B$27)+(((Assumptions!$B$56*$B5)+((Assumptions!$B$56*$B5)*Assumptions!$B$27))*Assumptions!$B$29)+Assumptions!$B$28+((Assumptions!$F$12*F$4+Assumptions!$B$58)*Assumptions!$B$30)+Assumptions!$B$31*(1+Assumptions!$B$32))*Assumptions!$E$19*'Returns &amp; Waterfall'!$B$26*0.55)+(Assumptions!$B$35*((Assumptions!$B$56*$B5)+((Assumptions!$B$56*$B5)*Assumptions!$B$27)+(((Assumptions!$B$56*$B5)+((Assumptions!$B$56*$B5)*Assumptions!$B$27))*Assumptions!$B$29)+Assumptions!$B$28+((Assumptions!$F$12*F$4+Assumptions!$B$58)*Assumptions!$B$30)+Assumptions!$B$31*(1+Assumptions!$B$32))*Assumptions!$B$36)))/(((Assumptions!$B$56*$B5)+((Assumptions!$B$56*$B5)*Assumptions!$B$27)+(((Assumptions!$B$56*$B5)+((Assumptions!$B$56*$B5)*Assumptions!$B$27))*Assumptions!$B$29)+Assumptions!$B$28+((Assumptions!$F$12*F$4+Assumptions!$B$58)*Assumptions!$B$30)+Assumptions!$B$31*(1+Assumptions!$B$32))+(Assumptions!$B$35*((Assumptions!$B$56*$B5)+((Assumptions!$B$56*$B5)*Assumptions!$B$27)+(((Assumptions!$B$56*$B5)+((Assumptions!$B$56*$B5)*Assumptions!$B$27))*Assumptions!$B$29)+Assumptions!$B$28+((Assumptions!$F$12*F$4+Assumptions!$B$58)*Assumptions!$B$30)+Assumptions!$B$31*(1+Assumptions!$B$32))*Assumptions!$E$19*'Returns &amp; Waterfall'!$B$26*0.55)+(Assumptions!$B$35*((Assumptions!$B$56*$B5)+((Assumptions!$B$56*$B5)*Assumptions!$B$27)+(((Assumptions!$B$56*$B5)+((Assumptions!$B$56*$B5)*Assumptions!$B$27))*Assumptions!$B$29)+Assumptions!$B$28+((Assumptions!$F$12*F$4+Assumptions!$B$58)*Assumptions!$B$30)+Assumptions!$B$31*(1+Assumptions!$B$32))*Assumptions!$B$36))</f>
        <v>0.35846760686966622</v>
      </c>
      <c r="G5" s="70">
        <f>((Assumptions!$F$12*G$4+Assumptions!$B$58)-(((Assumptions!$B$56*$B5)+((Assumptions!$B$56*$B5)*Assumptions!$B$27)+(((Assumptions!$B$56*$B5)+((Assumptions!$B$56*$B5)*Assumptions!$B$27))*Assumptions!$B$29)+Assumptions!$B$28+((Assumptions!$F$12*G$4+Assumptions!$B$58)*Assumptions!$B$30)+Assumptions!$B$31*(1+Assumptions!$B$32))+(Assumptions!$B$35*((Assumptions!$B$56*$B5)+((Assumptions!$B$56*$B5)*Assumptions!$B$27)+(((Assumptions!$B$56*$B5)+((Assumptions!$B$56*$B5)*Assumptions!$B$27))*Assumptions!$B$29)+Assumptions!$B$28+((Assumptions!$F$12*G$4+Assumptions!$B$58)*Assumptions!$B$30)+Assumptions!$B$31*(1+Assumptions!$B$32))*Assumptions!$E$19*'Returns &amp; Waterfall'!$B$26*0.55)+(Assumptions!$B$35*((Assumptions!$B$56*$B5)+((Assumptions!$B$56*$B5)*Assumptions!$B$27)+(((Assumptions!$B$56*$B5)+((Assumptions!$B$56*$B5)*Assumptions!$B$27))*Assumptions!$B$29)+Assumptions!$B$28+((Assumptions!$F$12*G$4+Assumptions!$B$58)*Assumptions!$B$30)+Assumptions!$B$31*(1+Assumptions!$B$32))*Assumptions!$B$36)))/(((Assumptions!$B$56*$B5)+((Assumptions!$B$56*$B5)*Assumptions!$B$27)+(((Assumptions!$B$56*$B5)+((Assumptions!$B$56*$B5)*Assumptions!$B$27))*Assumptions!$B$29)+Assumptions!$B$28+((Assumptions!$F$12*G$4+Assumptions!$B$58)*Assumptions!$B$30)+Assumptions!$B$31*(1+Assumptions!$B$32))+(Assumptions!$B$35*((Assumptions!$B$56*$B5)+((Assumptions!$B$56*$B5)*Assumptions!$B$27)+(((Assumptions!$B$56*$B5)+((Assumptions!$B$56*$B5)*Assumptions!$B$27))*Assumptions!$B$29)+Assumptions!$B$28+((Assumptions!$F$12*G$4+Assumptions!$B$58)*Assumptions!$B$30)+Assumptions!$B$31*(1+Assumptions!$B$32))*Assumptions!$E$19*'Returns &amp; Waterfall'!$B$26*0.55)+(Assumptions!$B$35*((Assumptions!$B$56*$B5)+((Assumptions!$B$56*$B5)*Assumptions!$B$27)+(((Assumptions!$B$56*$B5)+((Assumptions!$B$56*$B5)*Assumptions!$B$27))*Assumptions!$B$29)+Assumptions!$B$28+((Assumptions!$F$12*G$4+Assumptions!$B$58)*Assumptions!$B$30)+Assumptions!$B$31*(1+Assumptions!$B$32))*Assumptions!$B$36))</f>
        <v>0.41566373469490697</v>
      </c>
    </row>
    <row r="6" spans="1:7">
      <c r="A6" s="1"/>
      <c r="B6" s="11">
        <v>62000</v>
      </c>
      <c r="C6" s="21">
        <f>((Assumptions!$F$12*C$4+Assumptions!$B$58)-(((Assumptions!$B$56*$B6)+((Assumptions!$B$56*$B6)*Assumptions!$B$27)+(((Assumptions!$B$56*$B6)+((Assumptions!$B$56*$B6)*Assumptions!$B$27))*Assumptions!$B$29)+Assumptions!$B$28+((Assumptions!$F$12*C$4+Assumptions!$B$58)*Assumptions!$B$30)+Assumptions!$B$31*(1+Assumptions!$B$32))+(Assumptions!$B$35*((Assumptions!$B$56*$B6)+((Assumptions!$B$56*$B6)*Assumptions!$B$27)+(((Assumptions!$B$56*$B6)+((Assumptions!$B$56*$B6)*Assumptions!$B$27))*Assumptions!$B$29)+Assumptions!$B$28+((Assumptions!$F$12*C$4+Assumptions!$B$58)*Assumptions!$B$30)+Assumptions!$B$31*(1+Assumptions!$B$32))*Assumptions!$E$19*'Returns &amp; Waterfall'!$B$26*0.55)+(Assumptions!$B$35*((Assumptions!$B$56*$B6)+((Assumptions!$B$56*$B6)*Assumptions!$B$27)+(((Assumptions!$B$56*$B6)+((Assumptions!$B$56*$B6)*Assumptions!$B$27))*Assumptions!$B$29)+Assumptions!$B$28+((Assumptions!$F$12*C$4+Assumptions!$B$58)*Assumptions!$B$30)+Assumptions!$B$31*(1+Assumptions!$B$32))*Assumptions!$B$36)))/(((Assumptions!$B$56*$B6)+((Assumptions!$B$56*$B6)*Assumptions!$B$27)+(((Assumptions!$B$56*$B6)+((Assumptions!$B$56*$B6)*Assumptions!$B$27))*Assumptions!$B$29)+Assumptions!$B$28+((Assumptions!$F$12*C$4+Assumptions!$B$58)*Assumptions!$B$30)+Assumptions!$B$31*(1+Assumptions!$B$32))+(Assumptions!$B$35*((Assumptions!$B$56*$B6)+((Assumptions!$B$56*$B6)*Assumptions!$B$27)+(((Assumptions!$B$56*$B6)+((Assumptions!$B$56*$B6)*Assumptions!$B$27))*Assumptions!$B$29)+Assumptions!$B$28+((Assumptions!$F$12*C$4+Assumptions!$B$58)*Assumptions!$B$30)+Assumptions!$B$31*(1+Assumptions!$B$32))*Assumptions!$E$19*'Returns &amp; Waterfall'!$B$26*0.55)+(Assumptions!$B$35*((Assumptions!$B$56*$B6)+((Assumptions!$B$56*$B6)*Assumptions!$B$27)+(((Assumptions!$B$56*$B6)+((Assumptions!$B$56*$B6)*Assumptions!$B$27))*Assumptions!$B$29)+Assumptions!$B$28+((Assumptions!$F$12*C$4+Assumptions!$B$58)*Assumptions!$B$30)+Assumptions!$B$31*(1+Assumptions!$B$32))*Assumptions!$B$36))</f>
        <v>0.12472188537021267</v>
      </c>
      <c r="D6" s="21">
        <f>((Assumptions!$F$12*D$4+Assumptions!$B$58)-(((Assumptions!$B$56*$B6)+((Assumptions!$B$56*$B6)*Assumptions!$B$27)+(((Assumptions!$B$56*$B6)+((Assumptions!$B$56*$B6)*Assumptions!$B$27))*Assumptions!$B$29)+Assumptions!$B$28+((Assumptions!$F$12*D$4+Assumptions!$B$58)*Assumptions!$B$30)+Assumptions!$B$31*(1+Assumptions!$B$32))+(Assumptions!$B$35*((Assumptions!$B$56*$B6)+((Assumptions!$B$56*$B6)*Assumptions!$B$27)+(((Assumptions!$B$56*$B6)+((Assumptions!$B$56*$B6)*Assumptions!$B$27))*Assumptions!$B$29)+Assumptions!$B$28+((Assumptions!$F$12*D$4+Assumptions!$B$58)*Assumptions!$B$30)+Assumptions!$B$31*(1+Assumptions!$B$32))*Assumptions!$E$19*'Returns &amp; Waterfall'!$B$26*0.55)+(Assumptions!$B$35*((Assumptions!$B$56*$B6)+((Assumptions!$B$56*$B6)*Assumptions!$B$27)+(((Assumptions!$B$56*$B6)+((Assumptions!$B$56*$B6)*Assumptions!$B$27))*Assumptions!$B$29)+Assumptions!$B$28+((Assumptions!$F$12*D$4+Assumptions!$B$58)*Assumptions!$B$30)+Assumptions!$B$31*(1+Assumptions!$B$32))*Assumptions!$B$36)))/(((Assumptions!$B$56*$B6)+((Assumptions!$B$56*$B6)*Assumptions!$B$27)+(((Assumptions!$B$56*$B6)+((Assumptions!$B$56*$B6)*Assumptions!$B$27))*Assumptions!$B$29)+Assumptions!$B$28+((Assumptions!$F$12*D$4+Assumptions!$B$58)*Assumptions!$B$30)+Assumptions!$B$31*(1+Assumptions!$B$32))+(Assumptions!$B$35*((Assumptions!$B$56*$B6)+((Assumptions!$B$56*$B6)*Assumptions!$B$27)+(((Assumptions!$B$56*$B6)+((Assumptions!$B$56*$B6)*Assumptions!$B$27))*Assumptions!$B$29)+Assumptions!$B$28+((Assumptions!$F$12*D$4+Assumptions!$B$58)*Assumptions!$B$30)+Assumptions!$B$31*(1+Assumptions!$B$32))*Assumptions!$E$19*'Returns &amp; Waterfall'!$B$26*0.55)+(Assumptions!$B$35*((Assumptions!$B$56*$B6)+((Assumptions!$B$56*$B6)*Assumptions!$B$27)+(((Assumptions!$B$56*$B6)+((Assumptions!$B$56*$B6)*Assumptions!$B$27))*Assumptions!$B$29)+Assumptions!$B$28+((Assumptions!$F$12*D$4+Assumptions!$B$58)*Assumptions!$B$30)+Assumptions!$B$31*(1+Assumptions!$B$32))*Assumptions!$B$36))</f>
        <v>0.17975979473558257</v>
      </c>
      <c r="E6" s="21">
        <f>((Assumptions!$F$12*E$4+Assumptions!$B$58)-(((Assumptions!$B$56*$B6)+((Assumptions!$B$56*$B6)*Assumptions!$B$27)+(((Assumptions!$B$56*$B6)+((Assumptions!$B$56*$B6)*Assumptions!$B$27))*Assumptions!$B$29)+Assumptions!$B$28+((Assumptions!$F$12*E$4+Assumptions!$B$58)*Assumptions!$B$30)+Assumptions!$B$31*(1+Assumptions!$B$32))+(Assumptions!$B$35*((Assumptions!$B$56*$B6)+((Assumptions!$B$56*$B6)*Assumptions!$B$27)+(((Assumptions!$B$56*$B6)+((Assumptions!$B$56*$B6)*Assumptions!$B$27))*Assumptions!$B$29)+Assumptions!$B$28+((Assumptions!$F$12*E$4+Assumptions!$B$58)*Assumptions!$B$30)+Assumptions!$B$31*(1+Assumptions!$B$32))*Assumptions!$E$19*'Returns &amp; Waterfall'!$B$26*0.55)+(Assumptions!$B$35*((Assumptions!$B$56*$B6)+((Assumptions!$B$56*$B6)*Assumptions!$B$27)+(((Assumptions!$B$56*$B6)+((Assumptions!$B$56*$B6)*Assumptions!$B$27))*Assumptions!$B$29)+Assumptions!$B$28+((Assumptions!$F$12*E$4+Assumptions!$B$58)*Assumptions!$B$30)+Assumptions!$B$31*(1+Assumptions!$B$32))*Assumptions!$B$36)))/(((Assumptions!$B$56*$B6)+((Assumptions!$B$56*$B6)*Assumptions!$B$27)+(((Assumptions!$B$56*$B6)+((Assumptions!$B$56*$B6)*Assumptions!$B$27))*Assumptions!$B$29)+Assumptions!$B$28+((Assumptions!$F$12*E$4+Assumptions!$B$58)*Assumptions!$B$30)+Assumptions!$B$31*(1+Assumptions!$B$32))+(Assumptions!$B$35*((Assumptions!$B$56*$B6)+((Assumptions!$B$56*$B6)*Assumptions!$B$27)+(((Assumptions!$B$56*$B6)+((Assumptions!$B$56*$B6)*Assumptions!$B$27))*Assumptions!$B$29)+Assumptions!$B$28+((Assumptions!$F$12*E$4+Assumptions!$B$58)*Assumptions!$B$30)+Assumptions!$B$31*(1+Assumptions!$B$32))*Assumptions!$E$19*'Returns &amp; Waterfall'!$B$26*0.55)+(Assumptions!$B$35*((Assumptions!$B$56*$B6)+((Assumptions!$B$56*$B6)*Assumptions!$B$27)+(((Assumptions!$B$56*$B6)+((Assumptions!$B$56*$B6)*Assumptions!$B$27))*Assumptions!$B$29)+Assumptions!$B$28+((Assumptions!$F$12*E$4+Assumptions!$B$58)*Assumptions!$B$30)+Assumptions!$B$31*(1+Assumptions!$B$32))*Assumptions!$B$36))</f>
        <v>0.23458933034462215</v>
      </c>
      <c r="F6" s="21">
        <f>((Assumptions!$F$12*F$4+Assumptions!$B$58)-(((Assumptions!$B$56*$B6)+((Assumptions!$B$56*$B6)*Assumptions!$B$27)+(((Assumptions!$B$56*$B6)+((Assumptions!$B$56*$B6)*Assumptions!$B$27))*Assumptions!$B$29)+Assumptions!$B$28+((Assumptions!$F$12*F$4+Assumptions!$B$58)*Assumptions!$B$30)+Assumptions!$B$31*(1+Assumptions!$B$32))+(Assumptions!$B$35*((Assumptions!$B$56*$B6)+((Assumptions!$B$56*$B6)*Assumptions!$B$27)+(((Assumptions!$B$56*$B6)+((Assumptions!$B$56*$B6)*Assumptions!$B$27))*Assumptions!$B$29)+Assumptions!$B$28+((Assumptions!$F$12*F$4+Assumptions!$B$58)*Assumptions!$B$30)+Assumptions!$B$31*(1+Assumptions!$B$32))*Assumptions!$E$19*'Returns &amp; Waterfall'!$B$26*0.55)+(Assumptions!$B$35*((Assumptions!$B$56*$B6)+((Assumptions!$B$56*$B6)*Assumptions!$B$27)+(((Assumptions!$B$56*$B6)+((Assumptions!$B$56*$B6)*Assumptions!$B$27))*Assumptions!$B$29)+Assumptions!$B$28+((Assumptions!$F$12*F$4+Assumptions!$B$58)*Assumptions!$B$30)+Assumptions!$B$31*(1+Assumptions!$B$32))*Assumptions!$B$36)))/(((Assumptions!$B$56*$B6)+((Assumptions!$B$56*$B6)*Assumptions!$B$27)+(((Assumptions!$B$56*$B6)+((Assumptions!$B$56*$B6)*Assumptions!$B$27))*Assumptions!$B$29)+Assumptions!$B$28+((Assumptions!$F$12*F$4+Assumptions!$B$58)*Assumptions!$B$30)+Assumptions!$B$31*(1+Assumptions!$B$32))+(Assumptions!$B$35*((Assumptions!$B$56*$B6)+((Assumptions!$B$56*$B6)*Assumptions!$B$27)+(((Assumptions!$B$56*$B6)+((Assumptions!$B$56*$B6)*Assumptions!$B$27))*Assumptions!$B$29)+Assumptions!$B$28+((Assumptions!$F$12*F$4+Assumptions!$B$58)*Assumptions!$B$30)+Assumptions!$B$31*(1+Assumptions!$B$32))*Assumptions!$E$19*'Returns &amp; Waterfall'!$B$26*0.55)+(Assumptions!$B$35*((Assumptions!$B$56*$B6)+((Assumptions!$B$56*$B6)*Assumptions!$B$27)+(((Assumptions!$B$56*$B6)+((Assumptions!$B$56*$B6)*Assumptions!$B$27))*Assumptions!$B$29)+Assumptions!$B$28+((Assumptions!$F$12*F$4+Assumptions!$B$58)*Assumptions!$B$30)+Assumptions!$B$31*(1+Assumptions!$B$32))*Assumptions!$B$36))</f>
        <v>0.28921167331734532</v>
      </c>
      <c r="G6" s="21">
        <f>((Assumptions!$F$12*G$4+Assumptions!$B$58)-(((Assumptions!$B$56*$B6)+((Assumptions!$B$56*$B6)*Assumptions!$B$27)+(((Assumptions!$B$56*$B6)+((Assumptions!$B$56*$B6)*Assumptions!$B$27))*Assumptions!$B$29)+Assumptions!$B$28+((Assumptions!$F$12*G$4+Assumptions!$B$58)*Assumptions!$B$30)+Assumptions!$B$31*(1+Assumptions!$B$32))+(Assumptions!$B$35*((Assumptions!$B$56*$B6)+((Assumptions!$B$56*$B6)*Assumptions!$B$27)+(((Assumptions!$B$56*$B6)+((Assumptions!$B$56*$B6)*Assumptions!$B$27))*Assumptions!$B$29)+Assumptions!$B$28+((Assumptions!$F$12*G$4+Assumptions!$B$58)*Assumptions!$B$30)+Assumptions!$B$31*(1+Assumptions!$B$32))*Assumptions!$E$19*'Returns &amp; Waterfall'!$B$26*0.55)+(Assumptions!$B$35*((Assumptions!$B$56*$B6)+((Assumptions!$B$56*$B6)*Assumptions!$B$27)+(((Assumptions!$B$56*$B6)+((Assumptions!$B$56*$B6)*Assumptions!$B$27))*Assumptions!$B$29)+Assumptions!$B$28+((Assumptions!$F$12*G$4+Assumptions!$B$58)*Assumptions!$B$30)+Assumptions!$B$31*(1+Assumptions!$B$32))*Assumptions!$B$36)))/(((Assumptions!$B$56*$B6)+((Assumptions!$B$56*$B6)*Assumptions!$B$27)+(((Assumptions!$B$56*$B6)+((Assumptions!$B$56*$B6)*Assumptions!$B$27))*Assumptions!$B$29)+Assumptions!$B$28+((Assumptions!$F$12*G$4+Assumptions!$B$58)*Assumptions!$B$30)+Assumptions!$B$31*(1+Assumptions!$B$32))+(Assumptions!$B$35*((Assumptions!$B$56*$B6)+((Assumptions!$B$56*$B6)*Assumptions!$B$27)+(((Assumptions!$B$56*$B6)+((Assumptions!$B$56*$B6)*Assumptions!$B$27))*Assumptions!$B$29)+Assumptions!$B$28+((Assumptions!$F$12*G$4+Assumptions!$B$58)*Assumptions!$B$30)+Assumptions!$B$31*(1+Assumptions!$B$32))*Assumptions!$E$19*'Returns &amp; Waterfall'!$B$26*0.55)+(Assumptions!$B$35*((Assumptions!$B$56*$B6)+((Assumptions!$B$56*$B6)*Assumptions!$B$27)+(((Assumptions!$B$56*$B6)+((Assumptions!$B$56*$B6)*Assumptions!$B$27))*Assumptions!$B$29)+Assumptions!$B$28+((Assumptions!$F$12*G$4+Assumptions!$B$58)*Assumptions!$B$30)+Assumptions!$B$31*(1+Assumptions!$B$32))*Assumptions!$B$36))</f>
        <v>0.34362799586404746</v>
      </c>
    </row>
    <row r="7" spans="1:7">
      <c r="A7" s="1"/>
      <c r="B7" s="11">
        <v>66000</v>
      </c>
      <c r="C7" s="21">
        <f>((Assumptions!$F$12*C$4+Assumptions!$B$58)-(((Assumptions!$B$56*$B7)+((Assumptions!$B$56*$B7)*Assumptions!$B$27)+(((Assumptions!$B$56*$B7)+((Assumptions!$B$56*$B7)*Assumptions!$B$27))*Assumptions!$B$29)+Assumptions!$B$28+((Assumptions!$F$12*C$4+Assumptions!$B$58)*Assumptions!$B$30)+Assumptions!$B$31*(1+Assumptions!$B$32))+(Assumptions!$B$35*((Assumptions!$B$56*$B7)+((Assumptions!$B$56*$B7)*Assumptions!$B$27)+(((Assumptions!$B$56*$B7)+((Assumptions!$B$56*$B7)*Assumptions!$B$27))*Assumptions!$B$29)+Assumptions!$B$28+((Assumptions!$F$12*C$4+Assumptions!$B$58)*Assumptions!$B$30)+Assumptions!$B$31*(1+Assumptions!$B$32))*Assumptions!$E$19*'Returns &amp; Waterfall'!$B$26*0.55)+(Assumptions!$B$35*((Assumptions!$B$56*$B7)+((Assumptions!$B$56*$B7)*Assumptions!$B$27)+(((Assumptions!$B$56*$B7)+((Assumptions!$B$56*$B7)*Assumptions!$B$27))*Assumptions!$B$29)+Assumptions!$B$28+((Assumptions!$F$12*C$4+Assumptions!$B$58)*Assumptions!$B$30)+Assumptions!$B$31*(1+Assumptions!$B$32))*Assumptions!$B$36)))/(((Assumptions!$B$56*$B7)+((Assumptions!$B$56*$B7)*Assumptions!$B$27)+(((Assumptions!$B$56*$B7)+((Assumptions!$B$56*$B7)*Assumptions!$B$27))*Assumptions!$B$29)+Assumptions!$B$28+((Assumptions!$F$12*C$4+Assumptions!$B$58)*Assumptions!$B$30)+Assumptions!$B$31*(1+Assumptions!$B$32))+(Assumptions!$B$35*((Assumptions!$B$56*$B7)+((Assumptions!$B$56*$B7)*Assumptions!$B$27)+(((Assumptions!$B$56*$B7)+((Assumptions!$B$56*$B7)*Assumptions!$B$27))*Assumptions!$B$29)+Assumptions!$B$28+((Assumptions!$F$12*C$4+Assumptions!$B$58)*Assumptions!$B$30)+Assumptions!$B$31*(1+Assumptions!$B$32))*Assumptions!$E$19*'Returns &amp; Waterfall'!$B$26*0.55)+(Assumptions!$B$35*((Assumptions!$B$56*$B7)+((Assumptions!$B$56*$B7)*Assumptions!$B$27)+(((Assumptions!$B$56*$B7)+((Assumptions!$B$56*$B7)*Assumptions!$B$27))*Assumptions!$B$29)+Assumptions!$B$28+((Assumptions!$F$12*C$4+Assumptions!$B$58)*Assumptions!$B$30)+Assumptions!$B$31*(1+Assumptions!$B$32))*Assumptions!$B$36))</f>
        <v>6.9868095099915067E-2</v>
      </c>
      <c r="D7" s="21">
        <f>((Assumptions!$F$12*D$4+Assumptions!$B$58)-(((Assumptions!$B$56*$B7)+((Assumptions!$B$56*$B7)*Assumptions!$B$27)+(((Assumptions!$B$56*$B7)+((Assumptions!$B$56*$B7)*Assumptions!$B$27))*Assumptions!$B$29)+Assumptions!$B$28+((Assumptions!$F$12*D$4+Assumptions!$B$58)*Assumptions!$B$30)+Assumptions!$B$31*(1+Assumptions!$B$32))+(Assumptions!$B$35*((Assumptions!$B$56*$B7)+((Assumptions!$B$56*$B7)*Assumptions!$B$27)+(((Assumptions!$B$56*$B7)+((Assumptions!$B$56*$B7)*Assumptions!$B$27))*Assumptions!$B$29)+Assumptions!$B$28+((Assumptions!$F$12*D$4+Assumptions!$B$58)*Assumptions!$B$30)+Assumptions!$B$31*(1+Assumptions!$B$32))*Assumptions!$E$19*'Returns &amp; Waterfall'!$B$26*0.55)+(Assumptions!$B$35*((Assumptions!$B$56*$B7)+((Assumptions!$B$56*$B7)*Assumptions!$B$27)+(((Assumptions!$B$56*$B7)+((Assumptions!$B$56*$B7)*Assumptions!$B$27))*Assumptions!$B$29)+Assumptions!$B$28+((Assumptions!$F$12*D$4+Assumptions!$B$58)*Assumptions!$B$30)+Assumptions!$B$31*(1+Assumptions!$B$32))*Assumptions!$B$36)))/(((Assumptions!$B$56*$B7)+((Assumptions!$B$56*$B7)*Assumptions!$B$27)+(((Assumptions!$B$56*$B7)+((Assumptions!$B$56*$B7)*Assumptions!$B$27))*Assumptions!$B$29)+Assumptions!$B$28+((Assumptions!$F$12*D$4+Assumptions!$B$58)*Assumptions!$B$30)+Assumptions!$B$31*(1+Assumptions!$B$32))+(Assumptions!$B$35*((Assumptions!$B$56*$B7)+((Assumptions!$B$56*$B7)*Assumptions!$B$27)+(((Assumptions!$B$56*$B7)+((Assumptions!$B$56*$B7)*Assumptions!$B$27))*Assumptions!$B$29)+Assumptions!$B$28+((Assumptions!$F$12*D$4+Assumptions!$B$58)*Assumptions!$B$30)+Assumptions!$B$31*(1+Assumptions!$B$32))*Assumptions!$E$19*'Returns &amp; Waterfall'!$B$26*0.55)+(Assumptions!$B$35*((Assumptions!$B$56*$B7)+((Assumptions!$B$56*$B7)*Assumptions!$B$27)+(((Assumptions!$B$56*$B7)+((Assumptions!$B$56*$B7)*Assumptions!$B$27))*Assumptions!$B$29)+Assumptions!$B$28+((Assumptions!$F$12*D$4+Assumptions!$B$58)*Assumptions!$B$30)+Assumptions!$B$31*(1+Assumptions!$B$32))*Assumptions!$B$36))</f>
        <v>0.12232556522842747</v>
      </c>
      <c r="E7" s="21">
        <f>((Assumptions!$F$12*E$4+Assumptions!$B$58)-(((Assumptions!$B$56*$B7)+((Assumptions!$B$56*$B7)*Assumptions!$B$27)+(((Assumptions!$B$56*$B7)+((Assumptions!$B$56*$B7)*Assumptions!$B$27))*Assumptions!$B$29)+Assumptions!$B$28+((Assumptions!$F$12*E$4+Assumptions!$B$58)*Assumptions!$B$30)+Assumptions!$B$31*(1+Assumptions!$B$32))+(Assumptions!$B$35*((Assumptions!$B$56*$B7)+((Assumptions!$B$56*$B7)*Assumptions!$B$27)+(((Assumptions!$B$56*$B7)+((Assumptions!$B$56*$B7)*Assumptions!$B$27))*Assumptions!$B$29)+Assumptions!$B$28+((Assumptions!$F$12*E$4+Assumptions!$B$58)*Assumptions!$B$30)+Assumptions!$B$31*(1+Assumptions!$B$32))*Assumptions!$E$19*'Returns &amp; Waterfall'!$B$26*0.55)+(Assumptions!$B$35*((Assumptions!$B$56*$B7)+((Assumptions!$B$56*$B7)*Assumptions!$B$27)+(((Assumptions!$B$56*$B7)+((Assumptions!$B$56*$B7)*Assumptions!$B$27))*Assumptions!$B$29)+Assumptions!$B$28+((Assumptions!$F$12*E$4+Assumptions!$B$58)*Assumptions!$B$30)+Assumptions!$B$31*(1+Assumptions!$B$32))*Assumptions!$B$36)))/(((Assumptions!$B$56*$B7)+((Assumptions!$B$56*$B7)*Assumptions!$B$27)+(((Assumptions!$B$56*$B7)+((Assumptions!$B$56*$B7)*Assumptions!$B$27))*Assumptions!$B$29)+Assumptions!$B$28+((Assumptions!$F$12*E$4+Assumptions!$B$58)*Assumptions!$B$30)+Assumptions!$B$31*(1+Assumptions!$B$32))+(Assumptions!$B$35*((Assumptions!$B$56*$B7)+((Assumptions!$B$56*$B7)*Assumptions!$B$27)+(((Assumptions!$B$56*$B7)+((Assumptions!$B$56*$B7)*Assumptions!$B$27))*Assumptions!$B$29)+Assumptions!$B$28+((Assumptions!$F$12*E$4+Assumptions!$B$58)*Assumptions!$B$30)+Assumptions!$B$31*(1+Assumptions!$B$32))*Assumptions!$E$19*'Returns &amp; Waterfall'!$B$26*0.55)+(Assumptions!$B$35*((Assumptions!$B$56*$B7)+((Assumptions!$B$56*$B7)*Assumptions!$B$27)+(((Assumptions!$B$56*$B7)+((Assumptions!$B$56*$B7)*Assumptions!$B$27))*Assumptions!$B$29)+Assumptions!$B$28+((Assumptions!$F$12*E$4+Assumptions!$B$58)*Assumptions!$B$30)+Assumptions!$B$31*(1+Assumptions!$B$32))*Assumptions!$B$36))</f>
        <v>0.17459408238667531</v>
      </c>
      <c r="F7" s="21">
        <f>((Assumptions!$F$12*F$4+Assumptions!$B$58)-(((Assumptions!$B$56*$B7)+((Assumptions!$B$56*$B7)*Assumptions!$B$27)+(((Assumptions!$B$56*$B7)+((Assumptions!$B$56*$B7)*Assumptions!$B$27))*Assumptions!$B$29)+Assumptions!$B$28+((Assumptions!$F$12*F$4+Assumptions!$B$58)*Assumptions!$B$30)+Assumptions!$B$31*(1+Assumptions!$B$32))+(Assumptions!$B$35*((Assumptions!$B$56*$B7)+((Assumptions!$B$56*$B7)*Assumptions!$B$27)+(((Assumptions!$B$56*$B7)+((Assumptions!$B$56*$B7)*Assumptions!$B$27))*Assumptions!$B$29)+Assumptions!$B$28+((Assumptions!$F$12*F$4+Assumptions!$B$58)*Assumptions!$B$30)+Assumptions!$B$31*(1+Assumptions!$B$32))*Assumptions!$E$19*'Returns &amp; Waterfall'!$B$26*0.55)+(Assumptions!$B$35*((Assumptions!$B$56*$B7)+((Assumptions!$B$56*$B7)*Assumptions!$B$27)+(((Assumptions!$B$56*$B7)+((Assumptions!$B$56*$B7)*Assumptions!$B$27))*Assumptions!$B$29)+Assumptions!$B$28+((Assumptions!$F$12*F$4+Assumptions!$B$58)*Assumptions!$B$30)+Assumptions!$B$31*(1+Assumptions!$B$32))*Assumptions!$B$36)))/(((Assumptions!$B$56*$B7)+((Assumptions!$B$56*$B7)*Assumptions!$B$27)+(((Assumptions!$B$56*$B7)+((Assumptions!$B$56*$B7)*Assumptions!$B$27))*Assumptions!$B$29)+Assumptions!$B$28+((Assumptions!$F$12*F$4+Assumptions!$B$58)*Assumptions!$B$30)+Assumptions!$B$31*(1+Assumptions!$B$32))+(Assumptions!$B$35*((Assumptions!$B$56*$B7)+((Assumptions!$B$56*$B7)*Assumptions!$B$27)+(((Assumptions!$B$56*$B7)+((Assumptions!$B$56*$B7)*Assumptions!$B$27))*Assumptions!$B$29)+Assumptions!$B$28+((Assumptions!$F$12*F$4+Assumptions!$B$58)*Assumptions!$B$30)+Assumptions!$B$31*(1+Assumptions!$B$32))*Assumptions!$E$19*'Returns &amp; Waterfall'!$B$26*0.55)+(Assumptions!$B$35*((Assumptions!$B$56*$B7)+((Assumptions!$B$56*$B7)*Assumptions!$B$27)+(((Assumptions!$B$56*$B7)+((Assumptions!$B$56*$B7)*Assumptions!$B$27))*Assumptions!$B$29)+Assumptions!$B$28+((Assumptions!$F$12*F$4+Assumptions!$B$58)*Assumptions!$B$30)+Assumptions!$B$31*(1+Assumptions!$B$32))*Assumptions!$B$36))</f>
        <v>0.22667466565845867</v>
      </c>
      <c r="G7" s="21">
        <f>((Assumptions!$F$12*G$4+Assumptions!$B$58)-(((Assumptions!$B$56*$B7)+((Assumptions!$B$56*$B7)*Assumptions!$B$27)+(((Assumptions!$B$56*$B7)+((Assumptions!$B$56*$B7)*Assumptions!$B$27))*Assumptions!$B$29)+Assumptions!$B$28+((Assumptions!$F$12*G$4+Assumptions!$B$58)*Assumptions!$B$30)+Assumptions!$B$31*(1+Assumptions!$B$32))+(Assumptions!$B$35*((Assumptions!$B$56*$B7)+((Assumptions!$B$56*$B7)*Assumptions!$B$27)+(((Assumptions!$B$56*$B7)+((Assumptions!$B$56*$B7)*Assumptions!$B$27))*Assumptions!$B$29)+Assumptions!$B$28+((Assumptions!$F$12*G$4+Assumptions!$B$58)*Assumptions!$B$30)+Assumptions!$B$31*(1+Assumptions!$B$32))*Assumptions!$E$19*'Returns &amp; Waterfall'!$B$26*0.55)+(Assumptions!$B$35*((Assumptions!$B$56*$B7)+((Assumptions!$B$56*$B7)*Assumptions!$B$27)+(((Assumptions!$B$56*$B7)+((Assumptions!$B$56*$B7)*Assumptions!$B$27))*Assumptions!$B$29)+Assumptions!$B$28+((Assumptions!$F$12*G$4+Assumptions!$B$58)*Assumptions!$B$30)+Assumptions!$B$31*(1+Assumptions!$B$32))*Assumptions!$B$36)))/(((Assumptions!$B$56*$B7)+((Assumptions!$B$56*$B7)*Assumptions!$B$27)+(((Assumptions!$B$56*$B7)+((Assumptions!$B$56*$B7)*Assumptions!$B$27))*Assumptions!$B$29)+Assumptions!$B$28+((Assumptions!$F$12*G$4+Assumptions!$B$58)*Assumptions!$B$30)+Assumptions!$B$31*(1+Assumptions!$B$32))+(Assumptions!$B$35*((Assumptions!$B$56*$B7)+((Assumptions!$B$56*$B7)*Assumptions!$B$27)+(((Assumptions!$B$56*$B7)+((Assumptions!$B$56*$B7)*Assumptions!$B$27))*Assumptions!$B$29)+Assumptions!$B$28+((Assumptions!$F$12*G$4+Assumptions!$B$58)*Assumptions!$B$30)+Assumptions!$B$31*(1+Assumptions!$B$32))*Assumptions!$E$19*'Returns &amp; Waterfall'!$B$26*0.55)+(Assumptions!$B$35*((Assumptions!$B$56*$B7)+((Assumptions!$B$56*$B7)*Assumptions!$B$27)+(((Assumptions!$B$56*$B7)+((Assumptions!$B$56*$B7)*Assumptions!$B$27))*Assumptions!$B$29)+Assumptions!$B$28+((Assumptions!$F$12*G$4+Assumptions!$B$58)*Assumptions!$B$30)+Assumptions!$B$31*(1+Assumptions!$B$32))*Assumptions!$B$36))</f>
        <v>0.27856832681240212</v>
      </c>
    </row>
    <row r="8" spans="1:7">
      <c r="A8" s="1"/>
      <c r="B8" s="11">
        <v>70000</v>
      </c>
      <c r="C8" s="21">
        <f>((Assumptions!$F$12*C$4+Assumptions!$B$58)-(((Assumptions!$B$56*$B8)+((Assumptions!$B$56*$B8)*Assumptions!$B$27)+(((Assumptions!$B$56*$B8)+((Assumptions!$B$56*$B8)*Assumptions!$B$27))*Assumptions!$B$29)+Assumptions!$B$28+((Assumptions!$F$12*C$4+Assumptions!$B$58)*Assumptions!$B$30)+Assumptions!$B$31*(1+Assumptions!$B$32))+(Assumptions!$B$35*((Assumptions!$B$56*$B8)+((Assumptions!$B$56*$B8)*Assumptions!$B$27)+(((Assumptions!$B$56*$B8)+((Assumptions!$B$56*$B8)*Assumptions!$B$27))*Assumptions!$B$29)+Assumptions!$B$28+((Assumptions!$F$12*C$4+Assumptions!$B$58)*Assumptions!$B$30)+Assumptions!$B$31*(1+Assumptions!$B$32))*Assumptions!$E$19*'Returns &amp; Waterfall'!$B$26*0.55)+(Assumptions!$B$35*((Assumptions!$B$56*$B8)+((Assumptions!$B$56*$B8)*Assumptions!$B$27)+(((Assumptions!$B$56*$B8)+((Assumptions!$B$56*$B8)*Assumptions!$B$27))*Assumptions!$B$29)+Assumptions!$B$28+((Assumptions!$F$12*C$4+Assumptions!$B$58)*Assumptions!$B$30)+Assumptions!$B$31*(1+Assumptions!$B$32))*Assumptions!$B$36)))/(((Assumptions!$B$56*$B8)+((Assumptions!$B$56*$B8)*Assumptions!$B$27)+(((Assumptions!$B$56*$B8)+((Assumptions!$B$56*$B8)*Assumptions!$B$27))*Assumptions!$B$29)+Assumptions!$B$28+((Assumptions!$F$12*C$4+Assumptions!$B$58)*Assumptions!$B$30)+Assumptions!$B$31*(1+Assumptions!$B$32))+(Assumptions!$B$35*((Assumptions!$B$56*$B8)+((Assumptions!$B$56*$B8)*Assumptions!$B$27)+(((Assumptions!$B$56*$B8)+((Assumptions!$B$56*$B8)*Assumptions!$B$27))*Assumptions!$B$29)+Assumptions!$B$28+((Assumptions!$F$12*C$4+Assumptions!$B$58)*Assumptions!$B$30)+Assumptions!$B$31*(1+Assumptions!$B$32))*Assumptions!$E$19*'Returns &amp; Waterfall'!$B$26*0.55)+(Assumptions!$B$35*((Assumptions!$B$56*$B8)+((Assumptions!$B$56*$B8)*Assumptions!$B$27)+(((Assumptions!$B$56*$B8)+((Assumptions!$B$56*$B8)*Assumptions!$B$27))*Assumptions!$B$29)+Assumptions!$B$28+((Assumptions!$F$12*C$4+Assumptions!$B$58)*Assumptions!$B$30)+Assumptions!$B$31*(1+Assumptions!$B$32))*Assumptions!$B$36))</f>
        <v>2.0116034831609945E-2</v>
      </c>
      <c r="D8" s="21">
        <f>((Assumptions!$F$12*D$4+Assumptions!$B$58)-(((Assumptions!$B$56*$B8)+((Assumptions!$B$56*$B8)*Assumptions!$B$27)+(((Assumptions!$B$56*$B8)+((Assumptions!$B$56*$B8)*Assumptions!$B$27))*Assumptions!$B$29)+Assumptions!$B$28+((Assumptions!$F$12*D$4+Assumptions!$B$58)*Assumptions!$B$30)+Assumptions!$B$31*(1+Assumptions!$B$32))+(Assumptions!$B$35*((Assumptions!$B$56*$B8)+((Assumptions!$B$56*$B8)*Assumptions!$B$27)+(((Assumptions!$B$56*$B8)+((Assumptions!$B$56*$B8)*Assumptions!$B$27))*Assumptions!$B$29)+Assumptions!$B$28+((Assumptions!$F$12*D$4+Assumptions!$B$58)*Assumptions!$B$30)+Assumptions!$B$31*(1+Assumptions!$B$32))*Assumptions!$E$19*'Returns &amp; Waterfall'!$B$26*0.55)+(Assumptions!$B$35*((Assumptions!$B$56*$B8)+((Assumptions!$B$56*$B8)*Assumptions!$B$27)+(((Assumptions!$B$56*$B8)+((Assumptions!$B$56*$B8)*Assumptions!$B$27))*Assumptions!$B$29)+Assumptions!$B$28+((Assumptions!$F$12*D$4+Assumptions!$B$58)*Assumptions!$B$30)+Assumptions!$B$31*(1+Assumptions!$B$32))*Assumptions!$B$36)))/(((Assumptions!$B$56*$B8)+((Assumptions!$B$56*$B8)*Assumptions!$B$27)+(((Assumptions!$B$56*$B8)+((Assumptions!$B$56*$B8)*Assumptions!$B$27))*Assumptions!$B$29)+Assumptions!$B$28+((Assumptions!$F$12*D$4+Assumptions!$B$58)*Assumptions!$B$30)+Assumptions!$B$31*(1+Assumptions!$B$32))+(Assumptions!$B$35*((Assumptions!$B$56*$B8)+((Assumptions!$B$56*$B8)*Assumptions!$B$27)+(((Assumptions!$B$56*$B8)+((Assumptions!$B$56*$B8)*Assumptions!$B$27))*Assumptions!$B$29)+Assumptions!$B$28+((Assumptions!$F$12*D$4+Assumptions!$B$58)*Assumptions!$B$30)+Assumptions!$B$31*(1+Assumptions!$B$32))*Assumptions!$E$19*'Returns &amp; Waterfall'!$B$26*0.55)+(Assumptions!$B$35*((Assumptions!$B$56*$B8)+((Assumptions!$B$56*$B8)*Assumptions!$B$27)+(((Assumptions!$B$56*$B8)+((Assumptions!$B$56*$B8)*Assumptions!$B$27))*Assumptions!$B$29)+Assumptions!$B$28+((Assumptions!$F$12*D$4+Assumptions!$B$58)*Assumptions!$B$30)+Assumptions!$B$31*(1+Assumptions!$B$32))*Assumptions!$B$36))</f>
        <v>7.0223871531247081E-2</v>
      </c>
      <c r="E8" s="21">
        <f>((Assumptions!$F$12*E$4+Assumptions!$B$58)-(((Assumptions!$B$56*$B8)+((Assumptions!$B$56*$B8)*Assumptions!$B$27)+(((Assumptions!$B$56*$B8)+((Assumptions!$B$56*$B8)*Assumptions!$B$27))*Assumptions!$B$29)+Assumptions!$B$28+((Assumptions!$F$12*E$4+Assumptions!$B$58)*Assumptions!$B$30)+Assumptions!$B$31*(1+Assumptions!$B$32))+(Assumptions!$B$35*((Assumptions!$B$56*$B8)+((Assumptions!$B$56*$B8)*Assumptions!$B$27)+(((Assumptions!$B$56*$B8)+((Assumptions!$B$56*$B8)*Assumptions!$B$27))*Assumptions!$B$29)+Assumptions!$B$28+((Assumptions!$F$12*E$4+Assumptions!$B$58)*Assumptions!$B$30)+Assumptions!$B$31*(1+Assumptions!$B$32))*Assumptions!$E$19*'Returns &amp; Waterfall'!$B$26*0.55)+(Assumptions!$B$35*((Assumptions!$B$56*$B8)+((Assumptions!$B$56*$B8)*Assumptions!$B$27)+(((Assumptions!$B$56*$B8)+((Assumptions!$B$56*$B8)*Assumptions!$B$27))*Assumptions!$B$29)+Assumptions!$B$28+((Assumptions!$F$12*E$4+Assumptions!$B$58)*Assumptions!$B$30)+Assumptions!$B$31*(1+Assumptions!$B$32))*Assumptions!$B$36)))/(((Assumptions!$B$56*$B8)+((Assumptions!$B$56*$B8)*Assumptions!$B$27)+(((Assumptions!$B$56*$B8)+((Assumptions!$B$56*$B8)*Assumptions!$B$27))*Assumptions!$B$29)+Assumptions!$B$28+((Assumptions!$F$12*E$4+Assumptions!$B$58)*Assumptions!$B$30)+Assumptions!$B$31*(1+Assumptions!$B$32))+(Assumptions!$B$35*((Assumptions!$B$56*$B8)+((Assumptions!$B$56*$B8)*Assumptions!$B$27)+(((Assumptions!$B$56*$B8)+((Assumptions!$B$56*$B8)*Assumptions!$B$27))*Assumptions!$B$29)+Assumptions!$B$28+((Assumptions!$F$12*E$4+Assumptions!$B$58)*Assumptions!$B$30)+Assumptions!$B$31*(1+Assumptions!$B$32))*Assumptions!$E$19*'Returns &amp; Waterfall'!$B$26*0.55)+(Assumptions!$B$35*((Assumptions!$B$56*$B8)+((Assumptions!$B$56*$B8)*Assumptions!$B$27)+(((Assumptions!$B$56*$B8)+((Assumptions!$B$56*$B8)*Assumptions!$B$27))*Assumptions!$B$29)+Assumptions!$B$28+((Assumptions!$F$12*E$4+Assumptions!$B$58)*Assumptions!$B$30)+Assumptions!$B$31*(1+Assumptions!$B$32))*Assumptions!$B$36))</f>
        <v>0.12015958316289771</v>
      </c>
      <c r="F8" s="21">
        <f>((Assumptions!$F$12*F$4+Assumptions!$B$58)-(((Assumptions!$B$56*$B8)+((Assumptions!$B$56*$B8)*Assumptions!$B$27)+(((Assumptions!$B$56*$B8)+((Assumptions!$B$56*$B8)*Assumptions!$B$27))*Assumptions!$B$29)+Assumptions!$B$28+((Assumptions!$F$12*F$4+Assumptions!$B$58)*Assumptions!$B$30)+Assumptions!$B$31*(1+Assumptions!$B$32))+(Assumptions!$B$35*((Assumptions!$B$56*$B8)+((Assumptions!$B$56*$B8)*Assumptions!$B$27)+(((Assumptions!$B$56*$B8)+((Assumptions!$B$56*$B8)*Assumptions!$B$27))*Assumptions!$B$29)+Assumptions!$B$28+((Assumptions!$F$12*F$4+Assumptions!$B$58)*Assumptions!$B$30)+Assumptions!$B$31*(1+Assumptions!$B$32))*Assumptions!$E$19*'Returns &amp; Waterfall'!$B$26*0.55)+(Assumptions!$B$35*((Assumptions!$B$56*$B8)+((Assumptions!$B$56*$B8)*Assumptions!$B$27)+(((Assumptions!$B$56*$B8)+((Assumptions!$B$56*$B8)*Assumptions!$B$27))*Assumptions!$B$29)+Assumptions!$B$28+((Assumptions!$F$12*F$4+Assumptions!$B$58)*Assumptions!$B$30)+Assumptions!$B$31*(1+Assumptions!$B$32))*Assumptions!$B$36)))/(((Assumptions!$B$56*$B8)+((Assumptions!$B$56*$B8)*Assumptions!$B$27)+(((Assumptions!$B$56*$B8)+((Assumptions!$B$56*$B8)*Assumptions!$B$27))*Assumptions!$B$29)+Assumptions!$B$28+((Assumptions!$F$12*F$4+Assumptions!$B$58)*Assumptions!$B$30)+Assumptions!$B$31*(1+Assumptions!$B$32))+(Assumptions!$B$35*((Assumptions!$B$56*$B8)+((Assumptions!$B$56*$B8)*Assumptions!$B$27)+(((Assumptions!$B$56*$B8)+((Assumptions!$B$56*$B8)*Assumptions!$B$27))*Assumptions!$B$29)+Assumptions!$B$28+((Assumptions!$F$12*F$4+Assumptions!$B$58)*Assumptions!$B$30)+Assumptions!$B$31*(1+Assumptions!$B$32))*Assumptions!$E$19*'Returns &amp; Waterfall'!$B$26*0.55)+(Assumptions!$B$35*((Assumptions!$B$56*$B8)+((Assumptions!$B$56*$B8)*Assumptions!$B$27)+(((Assumptions!$B$56*$B8)+((Assumptions!$B$56*$B8)*Assumptions!$B$27))*Assumptions!$B$29)+Assumptions!$B$28+((Assumptions!$F$12*F$4+Assumptions!$B$58)*Assumptions!$B$30)+Assumptions!$B$31*(1+Assumptions!$B$32))*Assumptions!$B$36))</f>
        <v>0.16992405510425163</v>
      </c>
      <c r="G8" s="21">
        <f>((Assumptions!$F$12*G$4+Assumptions!$B$58)-(((Assumptions!$B$56*$B8)+((Assumptions!$B$56*$B8)*Assumptions!$B$27)+(((Assumptions!$B$56*$B8)+((Assumptions!$B$56*$B8)*Assumptions!$B$27))*Assumptions!$B$29)+Assumptions!$B$28+((Assumptions!$F$12*G$4+Assumptions!$B$58)*Assumptions!$B$30)+Assumptions!$B$31*(1+Assumptions!$B$32))+(Assumptions!$B$35*((Assumptions!$B$56*$B8)+((Assumptions!$B$56*$B8)*Assumptions!$B$27)+(((Assumptions!$B$56*$B8)+((Assumptions!$B$56*$B8)*Assumptions!$B$27))*Assumptions!$B$29)+Assumptions!$B$28+((Assumptions!$F$12*G$4+Assumptions!$B$58)*Assumptions!$B$30)+Assumptions!$B$31*(1+Assumptions!$B$32))*Assumptions!$E$19*'Returns &amp; Waterfall'!$B$26*0.55)+(Assumptions!$B$35*((Assumptions!$B$56*$B8)+((Assumptions!$B$56*$B8)*Assumptions!$B$27)+(((Assumptions!$B$56*$B8)+((Assumptions!$B$56*$B8)*Assumptions!$B$27))*Assumptions!$B$29)+Assumptions!$B$28+((Assumptions!$F$12*G$4+Assumptions!$B$58)*Assumptions!$B$30)+Assumptions!$B$31*(1+Assumptions!$B$32))*Assumptions!$B$36)))/(((Assumptions!$B$56*$B8)+((Assumptions!$B$56*$B8)*Assumptions!$B$27)+(((Assumptions!$B$56*$B8)+((Assumptions!$B$56*$B8)*Assumptions!$B$27))*Assumptions!$B$29)+Assumptions!$B$28+((Assumptions!$F$12*G$4+Assumptions!$B$58)*Assumptions!$B$30)+Assumptions!$B$31*(1+Assumptions!$B$32))+(Assumptions!$B$35*((Assumptions!$B$56*$B8)+((Assumptions!$B$56*$B8)*Assumptions!$B$27)+(((Assumptions!$B$56*$B8)+((Assumptions!$B$56*$B8)*Assumptions!$B$27))*Assumptions!$B$29)+Assumptions!$B$28+((Assumptions!$F$12*G$4+Assumptions!$B$58)*Assumptions!$B$30)+Assumptions!$B$31*(1+Assumptions!$B$32))*Assumptions!$E$19*'Returns &amp; Waterfall'!$B$26*0.55)+(Assumptions!$B$35*((Assumptions!$B$56*$B8)+((Assumptions!$B$56*$B8)*Assumptions!$B$27)+(((Assumptions!$B$56*$B8)+((Assumptions!$B$56*$B8)*Assumptions!$B$27))*Assumptions!$B$29)+Assumptions!$B$28+((Assumptions!$F$12*G$4+Assumptions!$B$58)*Assumptions!$B$30)+Assumptions!$B$31*(1+Assumptions!$B$32))*Assumptions!$B$36))</f>
        <v>0.21951816667111257</v>
      </c>
    </row>
    <row r="9" spans="1:7">
      <c r="A9" s="1"/>
      <c r="B9" s="11">
        <v>74000</v>
      </c>
      <c r="C9" s="21">
        <f>((Assumptions!$F$12*C$4+Assumptions!$B$58)-(((Assumptions!$B$56*$B9)+((Assumptions!$B$56*$B9)*Assumptions!$B$27)+(((Assumptions!$B$56*$B9)+((Assumptions!$B$56*$B9)*Assumptions!$B$27))*Assumptions!$B$29)+Assumptions!$B$28+((Assumptions!$F$12*C$4+Assumptions!$B$58)*Assumptions!$B$30)+Assumptions!$B$31*(1+Assumptions!$B$32))+(Assumptions!$B$35*((Assumptions!$B$56*$B9)+((Assumptions!$B$56*$B9)*Assumptions!$B$27)+(((Assumptions!$B$56*$B9)+((Assumptions!$B$56*$B9)*Assumptions!$B$27))*Assumptions!$B$29)+Assumptions!$B$28+((Assumptions!$F$12*C$4+Assumptions!$B$58)*Assumptions!$B$30)+Assumptions!$B$31*(1+Assumptions!$B$32))*Assumptions!$E$19*'Returns &amp; Waterfall'!$B$26*0.55)+(Assumptions!$B$35*((Assumptions!$B$56*$B9)+((Assumptions!$B$56*$B9)*Assumptions!$B$27)+(((Assumptions!$B$56*$B9)+((Assumptions!$B$56*$B9)*Assumptions!$B$27))*Assumptions!$B$29)+Assumptions!$B$28+((Assumptions!$F$12*C$4+Assumptions!$B$58)*Assumptions!$B$30)+Assumptions!$B$31*(1+Assumptions!$B$32))*Assumptions!$B$36)))/(((Assumptions!$B$56*$B9)+((Assumptions!$B$56*$B9)*Assumptions!$B$27)+(((Assumptions!$B$56*$B9)+((Assumptions!$B$56*$B9)*Assumptions!$B$27))*Assumptions!$B$29)+Assumptions!$B$28+((Assumptions!$F$12*C$4+Assumptions!$B$58)*Assumptions!$B$30)+Assumptions!$B$31*(1+Assumptions!$B$32))+(Assumptions!$B$35*((Assumptions!$B$56*$B9)+((Assumptions!$B$56*$B9)*Assumptions!$B$27)+(((Assumptions!$B$56*$B9)+((Assumptions!$B$56*$B9)*Assumptions!$B$27))*Assumptions!$B$29)+Assumptions!$B$28+((Assumptions!$F$12*C$4+Assumptions!$B$58)*Assumptions!$B$30)+Assumptions!$B$31*(1+Assumptions!$B$32))*Assumptions!$E$19*'Returns &amp; Waterfall'!$B$26*0.55)+(Assumptions!$B$35*((Assumptions!$B$56*$B9)+((Assumptions!$B$56*$B9)*Assumptions!$B$27)+(((Assumptions!$B$56*$B9)+((Assumptions!$B$56*$B9)*Assumptions!$B$27))*Assumptions!$B$29)+Assumptions!$B$28+((Assumptions!$F$12*C$4+Assumptions!$B$58)*Assumptions!$B$30)+Assumptions!$B$31*(1+Assumptions!$B$32))*Assumptions!$B$36))</f>
        <v>-2.5214405320135202E-2</v>
      </c>
      <c r="D9" s="21">
        <f>((Assumptions!$F$12*D$4+Assumptions!$B$58)-(((Assumptions!$B$56*$B9)+((Assumptions!$B$56*$B9)*Assumptions!$B$27)+(((Assumptions!$B$56*$B9)+((Assumptions!$B$56*$B9)*Assumptions!$B$27))*Assumptions!$B$29)+Assumptions!$B$28+((Assumptions!$F$12*D$4+Assumptions!$B$58)*Assumptions!$B$30)+Assumptions!$B$31*(1+Assumptions!$B$32))+(Assumptions!$B$35*((Assumptions!$B$56*$B9)+((Assumptions!$B$56*$B9)*Assumptions!$B$27)+(((Assumptions!$B$56*$B9)+((Assumptions!$B$56*$B9)*Assumptions!$B$27))*Assumptions!$B$29)+Assumptions!$B$28+((Assumptions!$F$12*D$4+Assumptions!$B$58)*Assumptions!$B$30)+Assumptions!$B$31*(1+Assumptions!$B$32))*Assumptions!$E$19*'Returns &amp; Waterfall'!$B$26*0.55)+(Assumptions!$B$35*((Assumptions!$B$56*$B9)+((Assumptions!$B$56*$B9)*Assumptions!$B$27)+(((Assumptions!$B$56*$B9)+((Assumptions!$B$56*$B9)*Assumptions!$B$27))*Assumptions!$B$29)+Assumptions!$B$28+((Assumptions!$F$12*D$4+Assumptions!$B$58)*Assumptions!$B$30)+Assumptions!$B$31*(1+Assumptions!$B$32))*Assumptions!$B$36)))/(((Assumptions!$B$56*$B9)+((Assumptions!$B$56*$B9)*Assumptions!$B$27)+(((Assumptions!$B$56*$B9)+((Assumptions!$B$56*$B9)*Assumptions!$B$27))*Assumptions!$B$29)+Assumptions!$B$28+((Assumptions!$F$12*D$4+Assumptions!$B$58)*Assumptions!$B$30)+Assumptions!$B$31*(1+Assumptions!$B$32))+(Assumptions!$B$35*((Assumptions!$B$56*$B9)+((Assumptions!$B$56*$B9)*Assumptions!$B$27)+(((Assumptions!$B$56*$B9)+((Assumptions!$B$56*$B9)*Assumptions!$B$27))*Assumptions!$B$29)+Assumptions!$B$28+((Assumptions!$F$12*D$4+Assumptions!$B$58)*Assumptions!$B$30)+Assumptions!$B$31*(1+Assumptions!$B$32))*Assumptions!$E$19*'Returns &amp; Waterfall'!$B$26*0.55)+(Assumptions!$B$35*((Assumptions!$B$56*$B9)+((Assumptions!$B$56*$B9)*Assumptions!$B$27)+(((Assumptions!$B$56*$B9)+((Assumptions!$B$56*$B9)*Assumptions!$B$27))*Assumptions!$B$29)+Assumptions!$B$28+((Assumptions!$F$12*D$4+Assumptions!$B$58)*Assumptions!$B$30)+Assumptions!$B$31*(1+Assumptions!$B$32))*Assumptions!$B$36))</f>
        <v>2.274500392309696E-2</v>
      </c>
      <c r="E9" s="21">
        <f>((Assumptions!$F$12*E$4+Assumptions!$B$58)-(((Assumptions!$B$56*$B9)+((Assumptions!$B$56*$B9)*Assumptions!$B$27)+(((Assumptions!$B$56*$B9)+((Assumptions!$B$56*$B9)*Assumptions!$B$27))*Assumptions!$B$29)+Assumptions!$B$28+((Assumptions!$F$12*E$4+Assumptions!$B$58)*Assumptions!$B$30)+Assumptions!$B$31*(1+Assumptions!$B$32))+(Assumptions!$B$35*((Assumptions!$B$56*$B9)+((Assumptions!$B$56*$B9)*Assumptions!$B$27)+(((Assumptions!$B$56*$B9)+((Assumptions!$B$56*$B9)*Assumptions!$B$27))*Assumptions!$B$29)+Assumptions!$B$28+((Assumptions!$F$12*E$4+Assumptions!$B$58)*Assumptions!$B$30)+Assumptions!$B$31*(1+Assumptions!$B$32))*Assumptions!$E$19*'Returns &amp; Waterfall'!$B$26*0.55)+(Assumptions!$B$35*((Assumptions!$B$56*$B9)+((Assumptions!$B$56*$B9)*Assumptions!$B$27)+(((Assumptions!$B$56*$B9)+((Assumptions!$B$56*$B9)*Assumptions!$B$27))*Assumptions!$B$29)+Assumptions!$B$28+((Assumptions!$F$12*E$4+Assumptions!$B$58)*Assumptions!$B$30)+Assumptions!$B$31*(1+Assumptions!$B$32))*Assumptions!$B$36)))/(((Assumptions!$B$56*$B9)+((Assumptions!$B$56*$B9)*Assumptions!$B$27)+(((Assumptions!$B$56*$B9)+((Assumptions!$B$56*$B9)*Assumptions!$B$27))*Assumptions!$B$29)+Assumptions!$B$28+((Assumptions!$F$12*E$4+Assumptions!$B$58)*Assumptions!$B$30)+Assumptions!$B$31*(1+Assumptions!$B$32))+(Assumptions!$B$35*((Assumptions!$B$56*$B9)+((Assumptions!$B$56*$B9)*Assumptions!$B$27)+(((Assumptions!$B$56*$B9)+((Assumptions!$B$56*$B9)*Assumptions!$B$27))*Assumptions!$B$29)+Assumptions!$B$28+((Assumptions!$F$12*E$4+Assumptions!$B$58)*Assumptions!$B$30)+Assumptions!$B$31*(1+Assumptions!$B$32))*Assumptions!$E$19*'Returns &amp; Waterfall'!$B$26*0.55)+(Assumptions!$B$35*((Assumptions!$B$56*$B9)+((Assumptions!$B$56*$B9)*Assumptions!$B$27)+(((Assumptions!$B$56*$B9)+((Assumptions!$B$56*$B9)*Assumptions!$B$27))*Assumptions!$B$29)+Assumptions!$B$28+((Assumptions!$F$12*E$4+Assumptions!$B$58)*Assumptions!$B$30)+Assumptions!$B$31*(1+Assumptions!$B$32))*Assumptions!$B$36))</f>
        <v>7.0546964813299085E-2</v>
      </c>
      <c r="F9" s="21">
        <f>((Assumptions!$F$12*F$4+Assumptions!$B$58)-(((Assumptions!$B$56*$B9)+((Assumptions!$B$56*$B9)*Assumptions!$B$27)+(((Assumptions!$B$56*$B9)+((Assumptions!$B$56*$B9)*Assumptions!$B$27))*Assumptions!$B$29)+Assumptions!$B$28+((Assumptions!$F$12*F$4+Assumptions!$B$58)*Assumptions!$B$30)+Assumptions!$B$31*(1+Assumptions!$B$32))+(Assumptions!$B$35*((Assumptions!$B$56*$B9)+((Assumptions!$B$56*$B9)*Assumptions!$B$27)+(((Assumptions!$B$56*$B9)+((Assumptions!$B$56*$B9)*Assumptions!$B$27))*Assumptions!$B$29)+Assumptions!$B$28+((Assumptions!$F$12*F$4+Assumptions!$B$58)*Assumptions!$B$30)+Assumptions!$B$31*(1+Assumptions!$B$32))*Assumptions!$E$19*'Returns &amp; Waterfall'!$B$26*0.55)+(Assumptions!$B$35*((Assumptions!$B$56*$B9)+((Assumptions!$B$56*$B9)*Assumptions!$B$27)+(((Assumptions!$B$56*$B9)+((Assumptions!$B$56*$B9)*Assumptions!$B$27))*Assumptions!$B$29)+Assumptions!$B$28+((Assumptions!$F$12*F$4+Assumptions!$B$58)*Assumptions!$B$30)+Assumptions!$B$31*(1+Assumptions!$B$32))*Assumptions!$B$36)))/(((Assumptions!$B$56*$B9)+((Assumptions!$B$56*$B9)*Assumptions!$B$27)+(((Assumptions!$B$56*$B9)+((Assumptions!$B$56*$B9)*Assumptions!$B$27))*Assumptions!$B$29)+Assumptions!$B$28+((Assumptions!$F$12*F$4+Assumptions!$B$58)*Assumptions!$B$30)+Assumptions!$B$31*(1+Assumptions!$B$32))+(Assumptions!$B$35*((Assumptions!$B$56*$B9)+((Assumptions!$B$56*$B9)*Assumptions!$B$27)+(((Assumptions!$B$56*$B9)+((Assumptions!$B$56*$B9)*Assumptions!$B$27))*Assumptions!$B$29)+Assumptions!$B$28+((Assumptions!$F$12*F$4+Assumptions!$B$58)*Assumptions!$B$30)+Assumptions!$B$31*(1+Assumptions!$B$32))*Assumptions!$E$19*'Returns &amp; Waterfall'!$B$26*0.55)+(Assumptions!$B$35*((Assumptions!$B$56*$B9)+((Assumptions!$B$56*$B9)*Assumptions!$B$27)+(((Assumptions!$B$56*$B9)+((Assumptions!$B$56*$B9)*Assumptions!$B$27))*Assumptions!$B$29)+Assumptions!$B$28+((Assumptions!$F$12*F$4+Assumptions!$B$58)*Assumptions!$B$30)+Assumptions!$B$31*(1+Assumptions!$B$32))*Assumptions!$B$36))</f>
        <v>0.11819225142250865</v>
      </c>
      <c r="G9" s="21">
        <f>((Assumptions!$F$12*G$4+Assumptions!$B$58)-(((Assumptions!$B$56*$B9)+((Assumptions!$B$56*$B9)*Assumptions!$B$27)+(((Assumptions!$B$56*$B9)+((Assumptions!$B$56*$B9)*Assumptions!$B$27))*Assumptions!$B$29)+Assumptions!$B$28+((Assumptions!$F$12*G$4+Assumptions!$B$58)*Assumptions!$B$30)+Assumptions!$B$31*(1+Assumptions!$B$32))+(Assumptions!$B$35*((Assumptions!$B$56*$B9)+((Assumptions!$B$56*$B9)*Assumptions!$B$27)+(((Assumptions!$B$56*$B9)+((Assumptions!$B$56*$B9)*Assumptions!$B$27))*Assumptions!$B$29)+Assumptions!$B$28+((Assumptions!$F$12*G$4+Assumptions!$B$58)*Assumptions!$B$30)+Assumptions!$B$31*(1+Assumptions!$B$32))*Assumptions!$E$19*'Returns &amp; Waterfall'!$B$26*0.55)+(Assumptions!$B$35*((Assumptions!$B$56*$B9)+((Assumptions!$B$56*$B9)*Assumptions!$B$27)+(((Assumptions!$B$56*$B9)+((Assumptions!$B$56*$B9)*Assumptions!$B$27))*Assumptions!$B$29)+Assumptions!$B$28+((Assumptions!$F$12*G$4+Assumptions!$B$58)*Assumptions!$B$30)+Assumptions!$B$31*(1+Assumptions!$B$32))*Assumptions!$B$36)))/(((Assumptions!$B$56*$B9)+((Assumptions!$B$56*$B9)*Assumptions!$B$27)+(((Assumptions!$B$56*$B9)+((Assumptions!$B$56*$B9)*Assumptions!$B$27))*Assumptions!$B$29)+Assumptions!$B$28+((Assumptions!$F$12*G$4+Assumptions!$B$58)*Assumptions!$B$30)+Assumptions!$B$31*(1+Assumptions!$B$32))+(Assumptions!$B$35*((Assumptions!$B$56*$B9)+((Assumptions!$B$56*$B9)*Assumptions!$B$27)+(((Assumptions!$B$56*$B9)+((Assumptions!$B$56*$B9)*Assumptions!$B$27))*Assumptions!$B$29)+Assumptions!$B$28+((Assumptions!$F$12*G$4+Assumptions!$B$58)*Assumptions!$B$30)+Assumptions!$B$31*(1+Assumptions!$B$32))*Assumptions!$E$19*'Returns &amp; Waterfall'!$B$26*0.55)+(Assumptions!$B$35*((Assumptions!$B$56*$B9)+((Assumptions!$B$56*$B9)*Assumptions!$B$27)+(((Assumptions!$B$56*$B9)+((Assumptions!$B$56*$B9)*Assumptions!$B$27))*Assumptions!$B$29)+Assumptions!$B$28+((Assumptions!$F$12*G$4+Assumptions!$B$58)*Assumptions!$B$30)+Assumptions!$B$31*(1+Assumptions!$B$32))*Assumptions!$B$36))</f>
        <v>0.16568163275691417</v>
      </c>
    </row>
    <row r="10" spans="1:7">
      <c r="A10" s="1"/>
      <c r="B10" s="1"/>
      <c r="C10" s="1"/>
      <c r="D10" s="1"/>
      <c r="E10" s="1"/>
      <c r="F10" s="1"/>
      <c r="G10" s="1"/>
    </row>
    <row r="11" spans="1:7">
      <c r="A11" s="1"/>
      <c r="B11" s="1"/>
      <c r="C11" s="1"/>
      <c r="D11" s="1"/>
      <c r="E11" s="1"/>
      <c r="F11" s="1"/>
      <c r="G11" s="1"/>
    </row>
    <row r="12" spans="1:7" ht="15.9">
      <c r="A12" s="72" t="s">
        <v>221</v>
      </c>
      <c r="B12" s="73"/>
      <c r="C12" s="74" t="s">
        <v>272</v>
      </c>
      <c r="D12" s="73"/>
      <c r="E12" s="73"/>
      <c r="F12" s="73"/>
      <c r="G12" s="73"/>
    </row>
    <row r="13" spans="1:7">
      <c r="A13" s="1"/>
      <c r="B13" s="33" t="s">
        <v>273</v>
      </c>
      <c r="C13" s="71">
        <v>0.9</v>
      </c>
      <c r="D13" s="71">
        <v>0.95</v>
      </c>
      <c r="E13" s="71">
        <v>1</v>
      </c>
      <c r="F13" s="71">
        <v>1.05</v>
      </c>
      <c r="G13" s="71">
        <v>1.1000000000000001</v>
      </c>
    </row>
    <row r="14" spans="1:7">
      <c r="A14" s="1"/>
      <c r="B14" s="14">
        <v>0.12</v>
      </c>
      <c r="C14" s="70">
        <f>((Assumptions!$F$12*C$13+Assumptions!$B$58)-(((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f>
        <v>6.7767566291301332E-2</v>
      </c>
      <c r="D14" s="70">
        <f>((Assumptions!$F$12*D$13+Assumptions!$B$58)-(((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f>
        <v>0.12017015565532196</v>
      </c>
      <c r="E14" s="70">
        <f>((Assumptions!$F$12*E$13+Assumptions!$B$58)-(((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f>
        <v>0.17238846724826992</v>
      </c>
      <c r="F14" s="70">
        <f>((Assumptions!$F$12*F$13+Assumptions!$B$58)-(((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f>
        <v>0.22442347140463509</v>
      </c>
      <c r="G14" s="70">
        <f>((Assumptions!$F$12*G$13+Assumptions!$B$58)-(((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14*'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f>
        <v>0.27627613165830905</v>
      </c>
    </row>
    <row r="15" spans="1:7">
      <c r="A15" s="1"/>
      <c r="B15" s="14">
        <v>0.14000000000000001</v>
      </c>
      <c r="C15" s="21">
        <f>((Assumptions!$F$12*C$13+Assumptions!$B$58)-(((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f>
        <v>5.5954466216212355E-2</v>
      </c>
      <c r="D15" s="21">
        <f>((Assumptions!$F$12*D$13+Assumptions!$B$58)-(((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f>
        <v>0.10777730671737792</v>
      </c>
      <c r="E15" s="21">
        <f>((Assumptions!$F$12*E$13+Assumptions!$B$58)-(((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f>
        <v>0.15941790817932594</v>
      </c>
      <c r="F15" s="21">
        <f>((Assumptions!$F$12*F$13+Assumptions!$B$58)-(((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f>
        <v>0.21087723020138363</v>
      </c>
      <c r="G15" s="21">
        <f>((Assumptions!$F$12*G$13+Assumptions!$B$58)-(((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15*'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f>
        <v>0.26215622565751767</v>
      </c>
    </row>
    <row r="16" spans="1:7">
      <c r="A16" s="1"/>
      <c r="B16" s="14">
        <v>0.16</v>
      </c>
      <c r="C16" s="21">
        <f>((Assumptions!$F$12*C$13+Assumptions!$B$58)-(((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f>
        <v>4.4399891210591007E-2</v>
      </c>
      <c r="D16" s="21">
        <f>((Assumptions!$F$12*D$13+Assumptions!$B$58)-(((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f>
        <v>9.5655670425751835E-2</v>
      </c>
      <c r="E16" s="21">
        <f>((Assumptions!$F$12*E$13+Assumptions!$B$58)-(((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f>
        <v>0.14673120471670165</v>
      </c>
      <c r="F16" s="21">
        <f>((Assumptions!$F$12*F$13+Assumptions!$B$58)-(((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f>
        <v>0.19762744318254044</v>
      </c>
      <c r="G16" s="21">
        <f>((Assumptions!$F$12*G$13+Assumptions!$B$58)-(((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16*'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f>
        <v>0.24834532827059785</v>
      </c>
    </row>
    <row r="17" spans="1:7">
      <c r="A17" s="1"/>
      <c r="B17" s="14">
        <v>0.18</v>
      </c>
      <c r="C17" s="21">
        <f>((Assumptions!$F$12*C$13+Assumptions!$B$58)-(((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f>
        <v>3.309544655217056E-2</v>
      </c>
      <c r="D17" s="21">
        <f>((Assumptions!$F$12*D$13+Assumptions!$B$58)-(((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f>
        <v>8.379644007227513E-2</v>
      </c>
      <c r="E17" s="21">
        <f>((Assumptions!$F$12*E$13+Assumptions!$B$58)-(((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f>
        <v>0.13431913961510755</v>
      </c>
      <c r="F17" s="21">
        <f>((Assumptions!$F$12*F$13+Assumptions!$B$58)-(((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f>
        <v>0.18466448400684604</v>
      </c>
      <c r="G17" s="21">
        <f>((Assumptions!$F$12*G$13+Assumptions!$B$58)-(((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17*'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f>
        <v>0.2348334054938967</v>
      </c>
    </row>
    <row r="18" spans="1:7">
      <c r="A18" s="1"/>
      <c r="B18" s="14">
        <v>0.2</v>
      </c>
      <c r="C18" s="21">
        <f>((Assumptions!$F$12*C$13+Assumptions!$B$58)-(((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Assumptions!$B$56*Assumptions!$E$18)+((Assumptions!$B$56*Assumptions!$E$18)*Assumptions!$B$27)+(((Assumptions!$B$56*Assumptions!$E$18)+((Assumptions!$B$56*Assumptions!$E$18)*Assumptions!$B$27))*Assumptions!$B$29)+Assumptions!$B$28+((Assumptions!$F$12*C$13+Assumptions!$B$58)*Assumptions!$B$30)+Assumptions!$B$31*(1+Assumptions!$B$32))+(Assumptions!$B$35*((Assumptions!$B$56*Assumptions!$E$18)+((Assumptions!$B$56*Assumptions!$E$18)*Assumptions!$B$27)+(((Assumptions!$B$56*Assumptions!$E$18)+((Assumptions!$B$56*Assumptions!$E$18)*Assumptions!$B$27))*Assumptions!$B$29)+Assumptions!$B$28+((Assumptions!$F$12*C$13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C$13+Assumptions!$B$58)*Assumptions!$B$30)+Assumptions!$B$31*(1+Assumptions!$B$32))*Assumptions!$B$36))</f>
        <v>2.2033097080240184E-2</v>
      </c>
      <c r="D18" s="21">
        <f>((Assumptions!$F$12*D$13+Assumptions!$B$58)-(((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Assumptions!$B$56*Assumptions!$E$18)+((Assumptions!$B$56*Assumptions!$E$18)*Assumptions!$B$27)+(((Assumptions!$B$56*Assumptions!$E$18)+((Assumptions!$B$56*Assumptions!$E$18)*Assumptions!$B$27))*Assumptions!$B$29)+Assumptions!$B$28+((Assumptions!$F$12*D$13+Assumptions!$B$58)*Assumptions!$B$30)+Assumptions!$B$31*(1+Assumptions!$B$32))+(Assumptions!$B$35*((Assumptions!$B$56*Assumptions!$E$18)+((Assumptions!$B$56*Assumptions!$E$18)*Assumptions!$B$27)+(((Assumptions!$B$56*Assumptions!$E$18)+((Assumptions!$B$56*Assumptions!$E$18)*Assumptions!$B$27))*Assumptions!$B$29)+Assumptions!$B$28+((Assumptions!$F$12*D$13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D$13+Assumptions!$B$58)*Assumptions!$B$30)+Assumptions!$B$31*(1+Assumptions!$B$32))*Assumptions!$B$36))</f>
        <v>7.2191186156456824E-2</v>
      </c>
      <c r="E18" s="21">
        <f>((Assumptions!$F$12*E$13+Assumptions!$B$58)-(((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Assumptions!$B$56*Assumptions!$E$18)+((Assumptions!$B$56*Assumptions!$E$18)*Assumptions!$B$27)+(((Assumptions!$B$56*Assumptions!$E$18)+((Assumptions!$B$56*Assumptions!$E$18)*Assumptions!$B$27))*Assumptions!$B$29)+Assumptions!$B$28+((Assumptions!$F$12*E$13+Assumptions!$B$58)*Assumptions!$B$30)+Assumptions!$B$31*(1+Assumptions!$B$32))+(Assumptions!$B$35*((Assumptions!$B$56*Assumptions!$E$18)+((Assumptions!$B$56*Assumptions!$E$18)*Assumptions!$B$27)+(((Assumptions!$B$56*Assumptions!$E$18)+((Assumptions!$B$56*Assumptions!$E$18)*Assumptions!$B$27))*Assumptions!$B$29)+Assumptions!$B$28+((Assumptions!$F$12*E$13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E$13+Assumptions!$B$58)*Assumptions!$B$30)+Assumptions!$B$31*(1+Assumptions!$B$32))*Assumptions!$B$36))</f>
        <v>0.12217289042099892</v>
      </c>
      <c r="F18" s="21">
        <f>((Assumptions!$F$12*F$13+Assumptions!$B$58)-(((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Assumptions!$B$56*Assumptions!$E$18)+((Assumptions!$B$56*Assumptions!$E$18)*Assumptions!$B$27)+(((Assumptions!$B$56*Assumptions!$E$18)+((Assumptions!$B$56*Assumptions!$E$18)*Assumptions!$B$27))*Assumptions!$B$29)+Assumptions!$B$28+((Assumptions!$F$12*F$13+Assumptions!$B$58)*Assumptions!$B$30)+Assumptions!$B$31*(1+Assumptions!$B$32))+(Assumptions!$B$35*((Assumptions!$B$56*Assumptions!$E$18)+((Assumptions!$B$56*Assumptions!$E$18)*Assumptions!$B$27)+(((Assumptions!$B$56*Assumptions!$E$18)+((Assumptions!$B$56*Assumptions!$E$18)*Assumptions!$B$27))*Assumptions!$B$29)+Assumptions!$B$28+((Assumptions!$F$12*F$13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F$13+Assumptions!$B$58)*Assumptions!$B$30)+Assumptions!$B$31*(1+Assumptions!$B$32))*Assumptions!$B$36))</f>
        <v>0.1719791386471268</v>
      </c>
      <c r="G18" s="21">
        <f>((Assumptions!$F$12*G$13+Assumptions!$B$58)-(((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Assumptions!$B$56*Assumptions!$E$18)+((Assumptions!$B$56*Assumptions!$E$18)*Assumptions!$B$27)+(((Assumptions!$B$56*Assumptions!$E$18)+((Assumptions!$B$56*Assumptions!$E$18)*Assumptions!$B$27))*Assumptions!$B$29)+Assumptions!$B$28+((Assumptions!$F$12*G$13+Assumptions!$B$58)*Assumptions!$B$30)+Assumptions!$B$31*(1+Assumptions!$B$32))+(Assumptions!$B$35*((Assumptions!$B$56*Assumptions!$E$18)+((Assumptions!$B$56*Assumptions!$E$18)*Assumptions!$B$27)+(((Assumptions!$B$56*Assumptions!$E$18)+((Assumptions!$B$56*Assumptions!$E$18)*Assumptions!$B$27))*Assumptions!$B$29)+Assumptions!$B$28+((Assumptions!$F$12*G$13+Assumptions!$B$58)*Assumptions!$B$30)+Assumptions!$B$31*(1+Assumptions!$B$32))*$B18*'Returns &amp; Waterfall'!$B$26*0.55)+(Assumptions!$B$35*((Assumptions!$B$56*Assumptions!$E$18)+((Assumptions!$B$56*Assumptions!$E$18)*Assumptions!$B$27)+(((Assumptions!$B$56*Assumptions!$E$18)+((Assumptions!$B$56*Assumptions!$E$18)*Assumptions!$B$27))*Assumptions!$B$29)+Assumptions!$B$28+((Assumptions!$F$12*G$13+Assumptions!$B$58)*Assumptions!$B$30)+Assumptions!$B$31*(1+Assumptions!$B$32))*Assumptions!$B$36))</f>
        <v>0.22161085309878509</v>
      </c>
    </row>
    <row r="19" spans="1:7">
      <c r="A19" s="1"/>
      <c r="B19" s="1"/>
      <c r="C19" s="1"/>
      <c r="D19" s="1"/>
      <c r="E19" s="1"/>
      <c r="F19" s="1"/>
      <c r="G19" s="1"/>
    </row>
    <row r="20" spans="1:7" ht="38.049999999999997" customHeight="1">
      <c r="A20" s="256" t="s">
        <v>274</v>
      </c>
      <c r="B20" s="256"/>
      <c r="C20" s="256"/>
      <c r="D20" s="256"/>
      <c r="E20" s="256"/>
      <c r="F20" s="256"/>
      <c r="G20" s="256"/>
    </row>
  </sheetData>
  <mergeCells count="2">
    <mergeCell ref="A1:G1"/>
    <mergeCell ref="A20:G20"/>
  </mergeCells>
  <conditionalFormatting sqref="C5:G9">
    <cfRule type="colorScale" priority="2">
      <colorScale>
        <cfvo type="num" val="0"/>
        <cfvo type="num" val="0.12"/>
        <cfvo type="num" val="0.25"/>
        <color rgb="FFE8A99A"/>
        <color rgb="FFF4EFE3"/>
        <color rgb="FF9DBE9C"/>
      </colorScale>
    </cfRule>
  </conditionalFormatting>
  <conditionalFormatting sqref="C14:G18">
    <cfRule type="colorScale" priority="3">
      <colorScale>
        <cfvo type="num" val="0"/>
        <cfvo type="num" val="0.12"/>
        <cfvo type="num" val="0.25"/>
        <color rgb="FFE8A99A"/>
        <color rgb="FFF4EFE3"/>
        <color rgb="FF9DBE9C"/>
      </colorScale>
    </cfRule>
  </conditionalFormatting>
  <printOptions horizontalCentered="1"/>
  <pageMargins left="0.27777777777777779" right="0.27777777777777779" top="0.33333333333333331" bottom="0.33333333333333331" header="0.511811023622047" footer="0.511811023622047"/>
  <pageSetup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34"/>
  <sheetViews>
    <sheetView showGridLines="0" zoomScale="90" zoomScaleNormal="90" workbookViewId="0">
      <pane ySplit="10" topLeftCell="A11" activePane="bottomLeft" state="frozen"/>
      <selection pane="bottomLeft" activeCell="A11" sqref="A11"/>
    </sheetView>
  </sheetViews>
  <sheetFormatPr defaultColWidth="8.68359375" defaultRowHeight="14.4"/>
  <cols>
    <col min="1" max="1" width="36.578125" customWidth="1"/>
    <col min="2" max="3" width="17.578125" customWidth="1"/>
    <col min="4" max="4" width="15.578125" customWidth="1"/>
    <col min="5" max="15" width="10.578125" customWidth="1"/>
    <col min="16" max="16" width="10.578125" hidden="1" customWidth="1"/>
  </cols>
  <sheetData>
    <row r="1" spans="1:16" ht="32.049999999999997" customHeight="1">
      <c r="A1" s="255" t="s">
        <v>275</v>
      </c>
      <c r="B1" s="255"/>
      <c r="C1" s="255"/>
      <c r="D1" s="255"/>
      <c r="E1" s="255"/>
      <c r="F1" s="255"/>
      <c r="G1" s="8"/>
      <c r="H1" s="8"/>
      <c r="I1" s="8"/>
      <c r="J1" s="8"/>
      <c r="K1" s="8"/>
      <c r="L1" s="8"/>
      <c r="M1" s="8"/>
      <c r="N1" s="8"/>
      <c r="O1" s="8"/>
      <c r="P1" s="8"/>
    </row>
    <row r="2" spans="1:16">
      <c r="A2" s="1"/>
      <c r="B2" s="1"/>
      <c r="C2" s="1"/>
      <c r="D2" s="1"/>
      <c r="E2" s="1"/>
      <c r="F2" s="1"/>
      <c r="G2" s="1"/>
      <c r="H2" s="1"/>
      <c r="I2" s="1"/>
      <c r="J2" s="1"/>
      <c r="K2" s="1"/>
      <c r="L2" s="1"/>
      <c r="M2" s="1"/>
      <c r="N2" s="1"/>
      <c r="O2" s="1"/>
      <c r="P2" s="1"/>
    </row>
    <row r="3" spans="1:16" ht="23.05" customHeight="1">
      <c r="A3" s="201" t="s">
        <v>276</v>
      </c>
      <c r="B3" s="201"/>
      <c r="C3" s="201"/>
      <c r="D3" s="201"/>
      <c r="E3" s="201"/>
      <c r="F3" s="201"/>
      <c r="G3" s="62"/>
      <c r="H3" s="62"/>
      <c r="I3" s="62"/>
      <c r="J3" s="62"/>
      <c r="K3" s="62"/>
      <c r="L3" s="62"/>
      <c r="M3" s="62"/>
      <c r="N3" s="62"/>
      <c r="O3" s="62"/>
      <c r="P3" s="62"/>
    </row>
    <row r="4" spans="1:16">
      <c r="A4" s="3" t="s">
        <v>29</v>
      </c>
      <c r="B4" s="20">
        <f>MAX(Cashflow!Q4:Q40)</f>
        <v>128246754.30367941</v>
      </c>
      <c r="C4" s="1"/>
      <c r="D4" s="1"/>
      <c r="E4" s="1"/>
      <c r="F4" s="1"/>
      <c r="G4" s="1"/>
      <c r="H4" s="1"/>
      <c r="I4" s="1"/>
      <c r="J4" s="1"/>
      <c r="K4" s="1"/>
      <c r="L4" s="1"/>
      <c r="M4" s="1"/>
      <c r="N4" s="1"/>
      <c r="O4" s="1"/>
      <c r="P4" s="1"/>
    </row>
    <row r="5" spans="1:16">
      <c r="A5" s="1" t="s">
        <v>277</v>
      </c>
      <c r="B5" s="15">
        <f>B4/'Returns &amp; Waterfall'!B4</f>
        <v>0.11457486311033972</v>
      </c>
      <c r="C5" s="1"/>
      <c r="D5" s="1"/>
      <c r="E5" s="1"/>
      <c r="F5" s="1"/>
      <c r="G5" s="1"/>
      <c r="H5" s="1"/>
      <c r="I5" s="1"/>
      <c r="J5" s="1"/>
      <c r="K5" s="1"/>
      <c r="L5" s="1"/>
      <c r="M5" s="1"/>
      <c r="N5" s="1"/>
      <c r="O5" s="1"/>
      <c r="P5" s="1"/>
    </row>
    <row r="6" spans="1:16">
      <c r="A6" s="1" t="s">
        <v>278</v>
      </c>
      <c r="B6" s="15">
        <f>B4/'Returns &amp; Waterfall'!B9</f>
        <v>0.13622572906679536</v>
      </c>
      <c r="C6" s="1"/>
      <c r="D6" s="1"/>
      <c r="E6" s="1"/>
      <c r="F6" s="1"/>
      <c r="G6" s="1"/>
      <c r="H6" s="1"/>
      <c r="I6" s="1"/>
      <c r="J6" s="1"/>
      <c r="K6" s="1"/>
      <c r="L6" s="1"/>
      <c r="M6" s="1"/>
      <c r="N6" s="1"/>
      <c r="O6" s="1"/>
      <c r="P6" s="1"/>
    </row>
    <row r="7" spans="1:16">
      <c r="A7" s="1" t="s">
        <v>279</v>
      </c>
      <c r="B7" s="15">
        <f>INDEX(Cashflow!$H$4:$H$40,MATCH(Assumptions!$B$69,Cashflow!$A$4:$A$40,0))/Assumptions!$B$54</f>
        <v>1</v>
      </c>
      <c r="C7" s="1"/>
      <c r="D7" s="1"/>
      <c r="E7" s="1"/>
      <c r="F7" s="1"/>
      <c r="G7" s="1"/>
      <c r="H7" s="1"/>
      <c r="I7" s="1"/>
      <c r="J7" s="1"/>
      <c r="K7" s="1"/>
      <c r="L7" s="1"/>
      <c r="M7" s="1"/>
      <c r="N7" s="1"/>
      <c r="O7" s="1"/>
      <c r="P7" s="1"/>
    </row>
    <row r="8" spans="1:16">
      <c r="A8" s="1" t="s">
        <v>280</v>
      </c>
      <c r="B8" s="22">
        <f>'Returns &amp; Waterfall'!B10/'Returns &amp; Waterfall'!B6</f>
        <v>26.441129823140731</v>
      </c>
      <c r="C8" s="1"/>
      <c r="D8" s="1"/>
      <c r="E8" s="1"/>
      <c r="F8" s="1"/>
      <c r="G8" s="1"/>
      <c r="H8" s="1"/>
      <c r="I8" s="1"/>
      <c r="J8" s="1"/>
      <c r="K8" s="1"/>
      <c r="L8" s="1"/>
      <c r="M8" s="1"/>
      <c r="N8" s="1"/>
      <c r="O8" s="1"/>
      <c r="P8" s="1"/>
    </row>
    <row r="9" spans="1:16">
      <c r="A9" s="1"/>
      <c r="B9" s="1"/>
      <c r="C9" s="1"/>
      <c r="D9" s="1"/>
      <c r="E9" s="1"/>
      <c r="F9" s="1"/>
      <c r="G9" s="1"/>
      <c r="H9" s="1"/>
      <c r="I9" s="1"/>
      <c r="J9" s="1"/>
      <c r="K9" s="1"/>
      <c r="L9" s="1"/>
      <c r="M9" s="1"/>
      <c r="N9" s="1"/>
      <c r="O9" s="1"/>
      <c r="P9" s="1"/>
    </row>
    <row r="10" spans="1:16" ht="23.05" customHeight="1">
      <c r="A10" s="201" t="s">
        <v>281</v>
      </c>
      <c r="B10" s="201"/>
      <c r="C10" s="201"/>
      <c r="D10" s="201"/>
      <c r="E10" s="201"/>
      <c r="F10" s="201"/>
      <c r="G10" s="62"/>
      <c r="H10" s="62"/>
      <c r="I10" s="62"/>
      <c r="J10" s="62"/>
      <c r="K10" s="62"/>
      <c r="L10" s="62"/>
      <c r="M10" s="62"/>
      <c r="N10" s="62"/>
      <c r="O10" s="62"/>
      <c r="P10" s="62"/>
    </row>
    <row r="11" spans="1:16">
      <c r="A11" s="33" t="s">
        <v>282</v>
      </c>
      <c r="B11" s="33" t="s">
        <v>283</v>
      </c>
      <c r="C11" s="33" t="s">
        <v>284</v>
      </c>
      <c r="D11" s="33" t="s">
        <v>285</v>
      </c>
      <c r="E11" s="1"/>
      <c r="F11" s="1"/>
      <c r="G11" s="1"/>
      <c r="H11" s="1"/>
      <c r="I11" s="1"/>
      <c r="J11" s="1"/>
      <c r="K11" s="1"/>
      <c r="L11" s="1"/>
      <c r="M11" s="1"/>
      <c r="N11" s="1"/>
      <c r="O11" s="1"/>
      <c r="P11" s="1"/>
    </row>
    <row r="12" spans="1:16">
      <c r="A12" s="1" t="s">
        <v>286</v>
      </c>
      <c r="B12" s="15">
        <f>B5</f>
        <v>0.11457486311033972</v>
      </c>
      <c r="C12" s="15">
        <f>Assumptions!$B$79</f>
        <v>0.65</v>
      </c>
      <c r="D12" s="23" t="str">
        <f>IF(B12&lt;=C12,"PASS","REVIEW")</f>
        <v>PASS</v>
      </c>
      <c r="E12" s="1"/>
      <c r="F12" s="1"/>
      <c r="G12" s="1"/>
      <c r="H12" s="1"/>
      <c r="I12" s="1"/>
      <c r="J12" s="1"/>
      <c r="K12" s="1"/>
      <c r="L12" s="1"/>
      <c r="M12" s="1"/>
      <c r="N12" s="1"/>
      <c r="O12" s="1"/>
      <c r="P12" s="1"/>
    </row>
    <row r="13" spans="1:16">
      <c r="A13" s="1" t="s">
        <v>287</v>
      </c>
      <c r="B13" s="15">
        <f>B6</f>
        <v>0.13622572906679536</v>
      </c>
      <c r="C13" s="15">
        <f>Assumptions!$B$35</f>
        <v>0.6</v>
      </c>
      <c r="D13" s="23" t="str">
        <f>IF(B13&lt;=C13+0.005,"PASS","REVIEW")</f>
        <v>PASS</v>
      </c>
      <c r="E13" s="1"/>
      <c r="F13" s="1"/>
      <c r="G13" s="1"/>
      <c r="H13" s="1"/>
      <c r="I13" s="1"/>
      <c r="J13" s="1"/>
      <c r="K13" s="1"/>
      <c r="L13" s="1"/>
      <c r="M13" s="1"/>
      <c r="N13" s="1"/>
      <c r="O13" s="1"/>
      <c r="P13" s="1"/>
    </row>
    <row r="14" spans="1:16">
      <c r="A14" s="1" t="s">
        <v>288</v>
      </c>
      <c r="B14" s="15">
        <f>B7</f>
        <v>1</v>
      </c>
      <c r="C14" s="15">
        <f>Assumptions!$B$78</f>
        <v>0.3</v>
      </c>
      <c r="D14" s="23" t="str">
        <f>IF(B14&gt;=C14,"PASS","REVIEW")</f>
        <v>PASS</v>
      </c>
      <c r="E14" s="1"/>
      <c r="F14" s="1"/>
      <c r="G14" s="1"/>
      <c r="H14" s="1"/>
      <c r="I14" s="1"/>
      <c r="J14" s="1"/>
      <c r="K14" s="1"/>
      <c r="L14" s="1"/>
      <c r="M14" s="1"/>
      <c r="N14" s="1"/>
      <c r="O14" s="1"/>
      <c r="P14" s="1"/>
    </row>
    <row r="15" spans="1:16">
      <c r="A15" s="1" t="s">
        <v>289</v>
      </c>
      <c r="B15" s="15">
        <f>'Returns &amp; Waterfall'!B11</f>
        <v>0.18896698079058652</v>
      </c>
      <c r="C15" s="15">
        <f>0.15</f>
        <v>0.15</v>
      </c>
      <c r="D15" s="23" t="str">
        <f>IF(B15&gt;=C15,"PASS","REVIEW")</f>
        <v>PASS</v>
      </c>
      <c r="E15" s="1"/>
      <c r="F15" s="1"/>
      <c r="G15" s="1"/>
      <c r="H15" s="1"/>
      <c r="I15" s="1"/>
      <c r="J15" s="1"/>
      <c r="K15" s="1"/>
      <c r="L15" s="1"/>
      <c r="M15" s="1"/>
      <c r="N15" s="1"/>
      <c r="O15" s="1"/>
      <c r="P15" s="1"/>
    </row>
    <row r="16" spans="1:16">
      <c r="A16" s="1" t="s">
        <v>290</v>
      </c>
      <c r="B16" s="19">
        <f>'Returns &amp; Waterfall'!B10</f>
        <v>177898860.39131153</v>
      </c>
      <c r="C16" s="19">
        <f>0</f>
        <v>0</v>
      </c>
      <c r="D16" s="23" t="str">
        <f>IF(B16&gt;0,"PASS","REVIEW")</f>
        <v>PASS</v>
      </c>
      <c r="E16" s="1"/>
      <c r="F16" s="1"/>
      <c r="G16" s="1"/>
      <c r="H16" s="1"/>
      <c r="I16" s="1"/>
      <c r="J16" s="1"/>
      <c r="K16" s="1"/>
      <c r="L16" s="1"/>
      <c r="M16" s="1"/>
      <c r="N16" s="1"/>
      <c r="O16" s="1"/>
      <c r="P16" s="1"/>
    </row>
    <row r="17" spans="1:16">
      <c r="A17" s="1"/>
      <c r="B17" s="1"/>
      <c r="C17" s="1"/>
      <c r="D17" s="1"/>
      <c r="E17" s="1"/>
      <c r="F17" s="1"/>
      <c r="G17" s="1"/>
      <c r="H17" s="1"/>
      <c r="I17" s="1"/>
      <c r="J17" s="1"/>
      <c r="K17" s="1"/>
      <c r="L17" s="1"/>
      <c r="M17" s="1"/>
      <c r="N17" s="1"/>
      <c r="O17" s="1"/>
      <c r="P17" s="1"/>
    </row>
    <row r="18" spans="1:16" ht="23.05" customHeight="1">
      <c r="A18" s="201" t="s">
        <v>291</v>
      </c>
      <c r="B18" s="201"/>
      <c r="C18" s="201"/>
      <c r="D18" s="201"/>
      <c r="E18" s="201"/>
      <c r="F18" s="201"/>
      <c r="G18" s="62"/>
      <c r="H18" s="62"/>
      <c r="I18" s="62"/>
      <c r="J18" s="62"/>
      <c r="K18" s="62"/>
      <c r="L18" s="62"/>
      <c r="M18" s="62"/>
      <c r="N18" s="62"/>
      <c r="O18" s="62"/>
      <c r="P18" s="62"/>
    </row>
    <row r="19" spans="1:16">
      <c r="A19" s="1" t="s">
        <v>292</v>
      </c>
      <c r="B19" s="19">
        <f>'Returns &amp; Waterfall'!B9-'Returns &amp; Waterfall'!B4*Assumptions!$B$30</f>
        <v>907848469.32417738</v>
      </c>
      <c r="C19" s="1"/>
      <c r="D19" s="1"/>
      <c r="E19" s="1"/>
      <c r="F19" s="1"/>
      <c r="G19" s="1"/>
      <c r="H19" s="1"/>
      <c r="I19" s="1"/>
      <c r="J19" s="1"/>
      <c r="K19" s="1"/>
      <c r="L19" s="1"/>
      <c r="M19" s="1"/>
      <c r="N19" s="1"/>
      <c r="O19" s="1"/>
      <c r="P19" s="1"/>
    </row>
    <row r="20" spans="1:16">
      <c r="A20" s="1" t="s">
        <v>293</v>
      </c>
      <c r="B20" s="19">
        <f>B19/(1-Assumptions!$B$30)</f>
        <v>935926257.03523445</v>
      </c>
      <c r="C20" s="1"/>
      <c r="D20" s="1"/>
      <c r="E20" s="1"/>
      <c r="F20" s="1"/>
      <c r="G20" s="1"/>
      <c r="H20" s="1"/>
      <c r="I20" s="1"/>
      <c r="J20" s="1"/>
      <c r="K20" s="1"/>
      <c r="L20" s="1"/>
      <c r="M20" s="1"/>
      <c r="N20" s="1"/>
      <c r="O20" s="1"/>
      <c r="P20" s="1"/>
    </row>
    <row r="21" spans="1:16">
      <c r="A21" s="3" t="s">
        <v>294</v>
      </c>
      <c r="B21" s="14">
        <f>1-B20/'Returns &amp; Waterfall'!B4</f>
        <v>0.16384922672379809</v>
      </c>
      <c r="C21" s="1"/>
      <c r="D21" s="1"/>
      <c r="E21" s="1"/>
      <c r="F21" s="1"/>
      <c r="G21" s="1"/>
      <c r="H21" s="1"/>
      <c r="I21" s="1"/>
      <c r="J21" s="1"/>
      <c r="K21" s="1"/>
      <c r="L21" s="1"/>
      <c r="M21" s="1"/>
      <c r="N21" s="1"/>
      <c r="O21" s="1"/>
      <c r="P21" s="1"/>
    </row>
    <row r="22" spans="1:16">
      <c r="A22" s="1" t="s">
        <v>295</v>
      </c>
      <c r="B22" s="10">
        <f>B20/Assumptions!$B$55</f>
        <v>132492.39199253035</v>
      </c>
      <c r="C22" s="1"/>
      <c r="D22" s="1"/>
      <c r="E22" s="1"/>
      <c r="F22" s="1"/>
      <c r="G22" s="1"/>
      <c r="H22" s="1"/>
      <c r="I22" s="1"/>
      <c r="J22" s="1"/>
      <c r="K22" s="1"/>
      <c r="L22" s="1"/>
      <c r="M22" s="1"/>
      <c r="N22" s="1"/>
      <c r="O22" s="1"/>
      <c r="P22" s="1"/>
    </row>
    <row r="23" spans="1:16">
      <c r="A23" s="3" t="s">
        <v>296</v>
      </c>
      <c r="B23" s="14">
        <f>'Returns &amp; Waterfall'!B10/(Assumptions!$B$61+Assumptions!$B$62+Assumptions!$B$63)</f>
        <v>0.25172542739588183</v>
      </c>
      <c r="C23" s="1"/>
      <c r="D23" s="1"/>
      <c r="E23" s="1"/>
      <c r="F23" s="1"/>
      <c r="G23" s="1"/>
      <c r="H23" s="1"/>
      <c r="I23" s="1"/>
      <c r="J23" s="1"/>
      <c r="K23" s="1"/>
      <c r="L23" s="1"/>
      <c r="M23" s="1"/>
      <c r="N23" s="1"/>
      <c r="O23" s="1"/>
      <c r="P23" s="1"/>
    </row>
    <row r="24" spans="1:16">
      <c r="A24" s="1" t="s">
        <v>297</v>
      </c>
      <c r="B24" s="15">
        <f>'Returns &amp; Waterfall'!B11-0.15</f>
        <v>3.8966980790586525E-2</v>
      </c>
      <c r="C24" s="1"/>
      <c r="D24" s="1"/>
      <c r="E24" s="1"/>
      <c r="F24" s="1"/>
      <c r="G24" s="1"/>
      <c r="H24" s="1"/>
      <c r="I24" s="1"/>
      <c r="J24" s="1"/>
      <c r="K24" s="1"/>
      <c r="L24" s="1"/>
      <c r="M24" s="1"/>
      <c r="N24" s="1"/>
      <c r="O24" s="1"/>
      <c r="P24" s="1"/>
    </row>
    <row r="25" spans="1:16" ht="32.049999999999997" customHeight="1">
      <c r="A25" s="75" t="s">
        <v>298</v>
      </c>
      <c r="B25" s="76"/>
      <c r="C25" s="76"/>
      <c r="D25" s="76"/>
      <c r="E25" s="76"/>
      <c r="F25" s="76"/>
      <c r="G25" s="76"/>
      <c r="H25" s="76"/>
      <c r="I25" s="76"/>
      <c r="J25" s="76"/>
      <c r="K25" s="76"/>
      <c r="L25" s="76"/>
      <c r="M25" s="76"/>
      <c r="N25" s="76"/>
      <c r="O25" s="76"/>
      <c r="P25" s="76"/>
    </row>
    <row r="26" spans="1:16">
      <c r="A26" s="1"/>
      <c r="B26" s="1"/>
      <c r="C26" s="1"/>
      <c r="D26" s="1"/>
      <c r="E26" s="1"/>
      <c r="F26" s="1"/>
      <c r="G26" s="1"/>
      <c r="H26" s="1"/>
      <c r="I26" s="1"/>
      <c r="J26" s="1"/>
      <c r="K26" s="1"/>
      <c r="L26" s="1"/>
      <c r="M26" s="1"/>
      <c r="N26" s="1"/>
      <c r="O26" s="1"/>
      <c r="P26" s="1"/>
    </row>
    <row r="27" spans="1:16" ht="23.05" customHeight="1">
      <c r="A27" s="201" t="s">
        <v>299</v>
      </c>
      <c r="B27" s="201"/>
      <c r="C27" s="201"/>
      <c r="D27" s="201"/>
      <c r="E27" s="201"/>
      <c r="F27" s="201"/>
      <c r="G27" s="62"/>
      <c r="H27" s="62"/>
      <c r="I27" s="62"/>
      <c r="J27" s="62"/>
      <c r="K27" s="62"/>
      <c r="L27" s="62"/>
      <c r="M27" s="62"/>
      <c r="N27" s="62"/>
      <c r="O27" s="62"/>
      <c r="P27" s="62"/>
    </row>
    <row r="28" spans="1:16">
      <c r="A28" s="33" t="s">
        <v>85</v>
      </c>
      <c r="B28" s="33" t="s">
        <v>300</v>
      </c>
      <c r="C28" s="33" t="s">
        <v>301</v>
      </c>
      <c r="D28" s="33"/>
      <c r="E28" s="1"/>
      <c r="F28" s="1"/>
      <c r="G28" s="1"/>
      <c r="H28" s="1"/>
      <c r="I28" s="1"/>
      <c r="J28" s="1"/>
      <c r="K28" s="1"/>
      <c r="L28" s="1"/>
      <c r="M28" s="1"/>
      <c r="N28" s="1"/>
      <c r="O28" s="1"/>
      <c r="P28" s="1"/>
    </row>
    <row r="29" spans="1:16">
      <c r="A29" s="1" t="s">
        <v>302</v>
      </c>
      <c r="B29" s="19">
        <f>(Assumptions!$F$12*Assumptions!$C$17+Assumptions!$B$58)-(((Assumptions!$B$56*Assumptions!$E$18)+((Assumptions!$B$56*Assumptions!$E$18)*Assumptions!$B$27)+(((Assumptions!$B$56*Assumptions!$E$18)+((Assumptions!$B$56*Assumptions!$E$18)*Assumptions!$B$27))*Assumptions!$B$29)+Assumptions!$B$28+((Assumptions!$F$12*Assumptions!$C$17+Assumptions!$B$58)*Assumptions!$B$30)+Assumptions!$B$31*(1+Assumptions!$B$32))+(Assumptions!$B$35*((Assumptions!$B$56*Assumptions!$E$18)+((Assumptions!$B$56*Assumptions!$E$18)*Assumptions!$B$27)+(((Assumptions!$B$56*Assumptions!$E$18)+((Assumptions!$B$56*Assumptions!$E$18)*Assumptions!$B$27))*Assumptions!$B$29)+Assumptions!$B$28+((Assumptions!$F$12*Assumptions!$C$17+Assumptions!$B$58)*Assumptions!$B$30)+Assumptions!$B$31*(1+Assumptions!$B$32))*Assumptions!$E$19*'Returns &amp; Waterfall'!$B$26*0.55)+(Assumptions!$B$35*((Assumptions!$B$56*Assumptions!$E$18)+((Assumptions!$B$56*Assumptions!$E$18)*Assumptions!$B$27)+(((Assumptions!$B$56*Assumptions!$E$18)+((Assumptions!$B$56*Assumptions!$E$18)*Assumptions!$B$27))*Assumptions!$B$29)+Assumptions!$B$28+((Assumptions!$F$12*Assumptions!$C$17+Assumptions!$B$58)*Assumptions!$B$30)+Assumptions!$B$31*(1+Assumptions!$B$32))*Assumptions!$B$36))</f>
        <v>62731639.405119896</v>
      </c>
      <c r="C29" s="19">
        <f>(Assumptions!$F$12*Assumptions!$D$17+Assumptions!$B$58)-(((Assumptions!$B$56*Assumptions!$E$18)+((Assumptions!$B$56*Assumptions!$E$18)*Assumptions!$B$27)+(((Assumptions!$B$56*Assumptions!$E$18)+((Assumptions!$B$56*Assumptions!$E$18)*Assumptions!$B$27))*Assumptions!$B$29)+Assumptions!$B$28+((Assumptions!$F$12*Assumptions!$D$17+Assumptions!$B$58)*Assumptions!$B$30)+Assumptions!$B$31*(1+Assumptions!$B$32))+(Assumptions!$B$35*((Assumptions!$B$56*Assumptions!$E$18)+((Assumptions!$B$56*Assumptions!$E$18)*Assumptions!$B$27)+(((Assumptions!$B$56*Assumptions!$E$18)+((Assumptions!$B$56*Assumptions!$E$18)*Assumptions!$B$27))*Assumptions!$B$29)+Assumptions!$B$28+((Assumptions!$F$12*Assumptions!$D$17+Assumptions!$B$58)*Assumptions!$B$30)+Assumptions!$B$31*(1+Assumptions!$B$32))*Assumptions!$E$19*'Returns &amp; Waterfall'!$B$26*0.55)+(Assumptions!$B$35*((Assumptions!$B$56*Assumptions!$E$18)+((Assumptions!$B$56*Assumptions!$E$18)*Assumptions!$B$27)+(((Assumptions!$B$56*Assumptions!$E$18)+((Assumptions!$B$56*Assumptions!$E$18)*Assumptions!$B$27))*Assumptions!$B$29)+Assumptions!$B$28+((Assumptions!$F$12*Assumptions!$D$17+Assumptions!$B$58)*Assumptions!$B$30)+Assumptions!$B$31*(1+Assumptions!$B$32))*Assumptions!$B$36))</f>
        <v>201760290.05216014</v>
      </c>
      <c r="D29" s="1"/>
      <c r="E29" s="257" t="str">
        <f>REPT("â–ˆ",ROUND(ABS(C29-B29)/$P$29*26,0))</f>
        <v>â–ˆâ–ˆâ–ˆâ–ˆâ–ˆâ–ˆâ–ˆâ–ˆâ–ˆâ–ˆâ–ˆâ–ˆâ–ˆâ–ˆâ–ˆâ–ˆâ–ˆâ–ˆâ–ˆâ–ˆâ–ˆâ–ˆâ–ˆâ–ˆ</v>
      </c>
      <c r="F29" s="257"/>
      <c r="G29" s="257"/>
      <c r="H29" s="257"/>
      <c r="I29" s="257"/>
      <c r="J29" s="257"/>
      <c r="K29" s="257"/>
      <c r="L29" s="257"/>
      <c r="M29" s="257"/>
      <c r="N29" s="77"/>
      <c r="O29" s="77"/>
      <c r="P29" s="1">
        <f>MAX(ABS(C29-B29),ABS(C30-B30),ABS(C31-B31))</f>
        <v>149402238.41399992</v>
      </c>
    </row>
    <row r="30" spans="1:16">
      <c r="A30" s="1" t="s">
        <v>303</v>
      </c>
      <c r="B30" s="19">
        <f>(Assumptions!$F$12*Assumptions!$E$17+Assumptions!$B$58)-(((Assumptions!$B$56*Assumptions!$C$18)+((Assumptions!$B$56*Assumptions!$C$18)*Assumptions!$B$27)+(((Assumptions!$B$56*Assumptions!$C$18)+((Assumptions!$B$56*Assumptions!$C$18)*Assumptions!$B$27))*Assumptions!$B$29)+Assumptions!$B$28+((Assumptions!$F$12*Assumptions!$E$17+Assumptions!$B$58)*Assumptions!$B$30)+Assumptions!$B$31*(1+Assumptions!$B$32))+(Assumptions!$B$35*((Assumptions!$B$56*Assumptions!$C$18)+((Assumptions!$B$56*Assumptions!$C$18)*Assumptions!$B$27)+(((Assumptions!$B$56*Assumptions!$C$18)+((Assumptions!$B$56*Assumptions!$C$18)*Assumptions!$B$27))*Assumptions!$B$29)+Assumptions!$B$28+((Assumptions!$F$12*Assumptions!$E$17+Assumptions!$B$58)*Assumptions!$B$30)+Assumptions!$B$31*(1+Assumptions!$B$32))*Assumptions!$E$19*'Returns &amp; Waterfall'!$B$26*0.55)+(Assumptions!$B$35*((Assumptions!$B$56*Assumptions!$C$18)+((Assumptions!$B$56*Assumptions!$C$18)*Assumptions!$B$27)+(((Assumptions!$B$56*Assumptions!$C$18)+((Assumptions!$B$56*Assumptions!$C$18)*Assumptions!$B$27))*Assumptions!$B$29)+Assumptions!$B$28+((Assumptions!$F$12*Assumptions!$E$17+Assumptions!$B$58)*Assumptions!$B$30)+Assumptions!$B$31*(1+Assumptions!$B$32))*Assumptions!$B$36))</f>
        <v>50236743.60800004</v>
      </c>
      <c r="C30" s="19">
        <f>(Assumptions!$F$12*Assumptions!$E$17+Assumptions!$B$58)-(((Assumptions!$B$56*Assumptions!$D$18)+((Assumptions!$B$56*Assumptions!$D$18)*Assumptions!$B$27)+(((Assumptions!$B$56*Assumptions!$D$18)+((Assumptions!$B$56*Assumptions!$D$18)*Assumptions!$B$27))*Assumptions!$B$29)+Assumptions!$B$28+((Assumptions!$F$12*Assumptions!$E$17+Assumptions!$B$58)*Assumptions!$B$30)+Assumptions!$B$31*(1+Assumptions!$B$32))+(Assumptions!$B$35*((Assumptions!$B$56*Assumptions!$D$18)+((Assumptions!$B$56*Assumptions!$D$18)*Assumptions!$B$27)+(((Assumptions!$B$56*Assumptions!$D$18)+((Assumptions!$B$56*Assumptions!$D$18)*Assumptions!$B$27))*Assumptions!$B$29)+Assumptions!$B$28+((Assumptions!$F$12*Assumptions!$E$17+Assumptions!$B$58)*Assumptions!$B$30)+Assumptions!$B$31*(1+Assumptions!$B$32))*Assumptions!$E$19*'Returns &amp; Waterfall'!$B$26*0.55)+(Assumptions!$B$35*((Assumptions!$B$56*Assumptions!$D$18)+((Assumptions!$B$56*Assumptions!$D$18)*Assumptions!$B$27)+(((Assumptions!$B$56*Assumptions!$D$18)+((Assumptions!$B$56*Assumptions!$D$18)*Assumptions!$B$27))*Assumptions!$B$29)+Assumptions!$B$28+((Assumptions!$F$12*Assumptions!$E$17+Assumptions!$B$58)*Assumptions!$B$30)+Assumptions!$B$31*(1+Assumptions!$B$32))*Assumptions!$B$36))</f>
        <v>199638982.02199996</v>
      </c>
      <c r="D30" s="1"/>
      <c r="E30" s="257" t="str">
        <f>REPT("â–ˆ",ROUND(ABS(C30-B30)/$P$29*26,0))</f>
        <v>â–ˆâ–ˆâ–ˆâ–ˆâ–ˆâ–ˆâ–ˆâ–ˆâ–ˆâ–ˆâ–ˆâ–ˆâ–ˆâ–ˆâ–ˆâ–ˆâ–ˆâ–ˆâ–ˆâ–ˆâ–ˆâ–ˆâ–ˆâ–ˆâ–ˆâ–ˆ</v>
      </c>
      <c r="F30" s="257"/>
      <c r="G30" s="257"/>
      <c r="H30" s="257"/>
      <c r="I30" s="257"/>
      <c r="J30" s="257"/>
      <c r="K30" s="257"/>
      <c r="L30" s="257"/>
      <c r="M30" s="257"/>
      <c r="N30" s="77"/>
      <c r="O30" s="77"/>
      <c r="P30" s="1"/>
    </row>
    <row r="31" spans="1:16">
      <c r="A31" s="1" t="s">
        <v>304</v>
      </c>
      <c r="B31" s="19">
        <f>(Assumptions!$F$12*Assumptions!$E$17+Assumptions!$B$58)-(((Assumptions!$B$56*Assumptions!$E$18)+((Assumptions!$B$56*Assumptions!$E$18)*Assumptions!$B$27)+(((Assumptions!$B$56*Assumptions!$E$18)+((Assumptions!$B$56*Assumptions!$E$18)*Assumptions!$B$27))*Assumptions!$B$29)+Assumptions!$B$28+((Assumptions!$F$12*Assumptions!$E$17+Assumptions!$B$58)*Assumptions!$B$30)+Assumptions!$B$31*(1+Assumptions!$B$32))+(Assumptions!$B$35*((Assumptions!$B$56*Assumptions!$E$18)+((Assumptions!$B$56*Assumptions!$E$18)*Assumptions!$B$27)+(((Assumptions!$B$56*Assumptions!$E$18)+((Assumptions!$B$56*Assumptions!$E$18)*Assumptions!$B$27))*Assumptions!$B$29)+Assumptions!$B$28+((Assumptions!$F$12*Assumptions!$E$17+Assumptions!$B$58)*Assumptions!$B$30)+Assumptions!$B$31*(1+Assumptions!$B$32))*Assumptions!$C$19*'Returns &amp; Waterfall'!$B$26*0.55)+(Assumptions!$B$35*((Assumptions!$B$56*Assumptions!$E$18)+((Assumptions!$B$56*Assumptions!$E$18)*Assumptions!$B$27)+(((Assumptions!$B$56*Assumptions!$E$18)+((Assumptions!$B$56*Assumptions!$E$18)*Assumptions!$B$27))*Assumptions!$B$29)+Assumptions!$B$28+((Assumptions!$F$12*Assumptions!$E$17+Assumptions!$B$58)*Assumptions!$B$30)+Assumptions!$B$31*(1+Assumptions!$B$32))*Assumptions!$B$36))</f>
        <v>131573933.91600001</v>
      </c>
      <c r="C31" s="19">
        <f>(Assumptions!$F$12*Assumptions!$E$17+Assumptions!$B$58)-(((Assumptions!$B$56*Assumptions!$E$18)+((Assumptions!$B$56*Assumptions!$E$18)*Assumptions!$B$27)+(((Assumptions!$B$56*Assumptions!$E$18)+((Assumptions!$B$56*Assumptions!$E$18)*Assumptions!$B$27))*Assumptions!$B$29)+Assumptions!$B$28+((Assumptions!$F$12*Assumptions!$E$17+Assumptions!$B$58)*Assumptions!$B$30)+Assumptions!$B$31*(1+Assumptions!$B$32))+(Assumptions!$B$35*((Assumptions!$B$56*Assumptions!$E$18)+((Assumptions!$B$56*Assumptions!$E$18)*Assumptions!$B$27)+(((Assumptions!$B$56*Assumptions!$E$18)+((Assumptions!$B$56*Assumptions!$E$18)*Assumptions!$B$27))*Assumptions!$B$29)+Assumptions!$B$28+((Assumptions!$F$12*Assumptions!$E$17+Assumptions!$B$58)*Assumptions!$B$30)+Assumptions!$B$31*(1+Assumptions!$B$32))*Assumptions!$D$19*'Returns &amp; Waterfall'!$B$26*0.55)+(Assumptions!$B$35*((Assumptions!$B$56*Assumptions!$E$18)+((Assumptions!$B$56*Assumptions!$E$18)*Assumptions!$B$27)+(((Assumptions!$B$56*Assumptions!$E$18)+((Assumptions!$B$56*Assumptions!$E$18)*Assumptions!$B$27))*Assumptions!$B$29)+Assumptions!$B$28+((Assumptions!$F$12*Assumptions!$E$17+Assumptions!$B$58)*Assumptions!$B$30)+Assumptions!$B$31*(1+Assumptions!$B$32))*Assumptions!$B$36))</f>
        <v>152779231.34800005</v>
      </c>
      <c r="D31" s="1"/>
      <c r="E31" s="257" t="str">
        <f>REPT("â–ˆ",ROUND(ABS(C31-B31)/$P$29*26,0))</f>
        <v>â–ˆâ–ˆâ–ˆâ–ˆ</v>
      </c>
      <c r="F31" s="257"/>
      <c r="G31" s="257"/>
      <c r="H31" s="257"/>
      <c r="I31" s="257"/>
      <c r="J31" s="257"/>
      <c r="K31" s="257"/>
      <c r="L31" s="257"/>
      <c r="M31" s="257"/>
      <c r="N31" s="77"/>
      <c r="O31" s="77"/>
      <c r="P31" s="1"/>
    </row>
    <row r="32" spans="1:16">
      <c r="A32" s="1"/>
      <c r="B32" s="1"/>
      <c r="C32" s="1"/>
      <c r="D32" s="1"/>
      <c r="E32" s="1"/>
      <c r="F32" s="1"/>
      <c r="G32" s="1"/>
      <c r="H32" s="1"/>
      <c r="I32" s="1"/>
      <c r="J32" s="1"/>
      <c r="K32" s="1"/>
      <c r="L32" s="1"/>
      <c r="M32" s="1"/>
      <c r="N32" s="1"/>
      <c r="O32" s="1"/>
      <c r="P32" s="1"/>
    </row>
    <row r="33" spans="1:16">
      <c r="A33" s="1"/>
      <c r="B33" s="1"/>
      <c r="C33" s="1"/>
      <c r="D33" s="1"/>
      <c r="E33" s="1"/>
      <c r="F33" s="1"/>
      <c r="G33" s="1"/>
      <c r="H33" s="1"/>
      <c r="I33" s="1"/>
      <c r="J33" s="1"/>
      <c r="K33" s="1"/>
      <c r="L33" s="1"/>
      <c r="M33" s="1"/>
      <c r="N33" s="1"/>
      <c r="O33" s="1"/>
      <c r="P33" s="1"/>
    </row>
    <row r="34" spans="1:16" ht="32.049999999999997" customHeight="1">
      <c r="A34" s="75" t="s">
        <v>305</v>
      </c>
      <c r="B34" s="76"/>
      <c r="C34" s="76"/>
      <c r="D34" s="76"/>
      <c r="E34" s="76"/>
      <c r="F34" s="76"/>
      <c r="G34" s="76"/>
      <c r="H34" s="76"/>
      <c r="I34" s="76"/>
      <c r="J34" s="76"/>
      <c r="K34" s="76"/>
      <c r="L34" s="76"/>
      <c r="M34" s="76"/>
      <c r="N34" s="76"/>
      <c r="O34" s="76"/>
      <c r="P34" s="76"/>
    </row>
  </sheetData>
  <mergeCells count="8">
    <mergeCell ref="E29:M29"/>
    <mergeCell ref="E30:M30"/>
    <mergeCell ref="E31:M31"/>
    <mergeCell ref="A1:F1"/>
    <mergeCell ref="A3:F3"/>
    <mergeCell ref="A10:F10"/>
    <mergeCell ref="A18:F18"/>
    <mergeCell ref="A27:F27"/>
  </mergeCells>
  <conditionalFormatting sqref="D12:D16">
    <cfRule type="cellIs" dxfId="1" priority="2" operator="equal">
      <formula>"PASS"</formula>
    </cfRule>
    <cfRule type="cellIs" dxfId="0" priority="3" operator="equal">
      <formula>"REVIEW"</formula>
    </cfRule>
  </conditionalFormatting>
  <printOptions horizontalCentered="1"/>
  <pageMargins left="0.27777777777777779" right="0.27777777777777779" top="0.33333333333333331" bottom="0.33333333333333331" header="0.511811023622047" footer="0.511811023622047"/>
  <pageSetup scale="65"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0"/>
  <sheetViews>
    <sheetView showGridLines="0" zoomScaleNormal="100" workbookViewId="0"/>
  </sheetViews>
  <sheetFormatPr defaultColWidth="8.68359375" defaultRowHeight="14.4"/>
  <cols>
    <col min="1" max="1" width="3.578125" customWidth="1"/>
    <col min="2" max="2" width="105.578125" customWidth="1"/>
  </cols>
  <sheetData>
    <row r="1" spans="1:2" ht="32.049999999999997" customHeight="1">
      <c r="A1" s="8"/>
      <c r="B1" s="24" t="s">
        <v>0</v>
      </c>
    </row>
    <row r="2" spans="1:2" ht="29.7">
      <c r="A2" s="1"/>
      <c r="B2" s="25" t="s">
        <v>58</v>
      </c>
    </row>
    <row r="3" spans="1:2">
      <c r="A3" s="1"/>
      <c r="B3" s="26" t="s">
        <v>59</v>
      </c>
    </row>
    <row r="4" spans="1:2">
      <c r="A4" s="1"/>
      <c r="B4" s="1"/>
    </row>
    <row r="5" spans="1:2" ht="18.899999999999999">
      <c r="A5" s="1"/>
      <c r="B5" s="27" t="s">
        <v>60</v>
      </c>
    </row>
    <row r="6" spans="1:2" ht="64" customHeight="1">
      <c r="A6" s="1"/>
      <c r="B6" s="7" t="s">
        <v>61</v>
      </c>
    </row>
    <row r="7" spans="1:2">
      <c r="A7" s="1"/>
      <c r="B7" s="1"/>
    </row>
    <row r="8" spans="1:2" ht="18.899999999999999">
      <c r="A8" s="1"/>
      <c r="B8" s="27" t="s">
        <v>62</v>
      </c>
    </row>
    <row r="9" spans="1:2" ht="58" customHeight="1">
      <c r="A9" s="1"/>
      <c r="B9" s="7" t="s">
        <v>306</v>
      </c>
    </row>
    <row r="10" spans="1:2">
      <c r="A10" s="1"/>
      <c r="B10" s="1"/>
    </row>
    <row r="11" spans="1:2" ht="72" customHeight="1">
      <c r="A11" s="1"/>
      <c r="B11" s="7" t="s">
        <v>63</v>
      </c>
    </row>
    <row r="12" spans="1:2">
      <c r="A12" s="1"/>
      <c r="B12" s="1"/>
    </row>
    <row r="13" spans="1:2" ht="65.05" customHeight="1">
      <c r="A13" s="1"/>
      <c r="B13" s="7" t="s">
        <v>64</v>
      </c>
    </row>
    <row r="14" spans="1:2">
      <c r="A14" s="1"/>
      <c r="B14" s="1"/>
    </row>
    <row r="15" spans="1:2" ht="45" customHeight="1">
      <c r="A15" s="1"/>
      <c r="B15" s="7" t="s">
        <v>65</v>
      </c>
    </row>
    <row r="16" spans="1:2">
      <c r="A16" s="1"/>
      <c r="B16" s="1"/>
    </row>
    <row r="17" spans="1:2" ht="18.899999999999999">
      <c r="A17" s="1"/>
      <c r="B17" s="27" t="s">
        <v>66</v>
      </c>
    </row>
    <row r="18" spans="1:2" ht="58" customHeight="1">
      <c r="A18" s="1"/>
      <c r="B18" s="7" t="s">
        <v>307</v>
      </c>
    </row>
    <row r="19" spans="1:2" ht="52" customHeight="1">
      <c r="A19" s="1"/>
      <c r="B19" s="7" t="s">
        <v>599</v>
      </c>
    </row>
    <row r="20" spans="1:2" ht="34" customHeight="1">
      <c r="A20" s="1"/>
      <c r="B20" s="28" t="s">
        <v>67</v>
      </c>
    </row>
  </sheetData>
  <printOptions horizontalCentered="1"/>
  <pageMargins left="0.27777777777777779" right="0.27777777777777779" top="0.33333333333333331" bottom="0.33333333333333331" header="0.511811023622047" footer="0.511811023622047"/>
  <pageSetup scale="92"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BBA7C-966C-4EB4-8178-BE60A4932D93}">
  <sheetPr>
    <pageSetUpPr fitToPage="1"/>
  </sheetPr>
  <dimension ref="A1:H22"/>
  <sheetViews>
    <sheetView showGridLines="0" zoomScale="85" zoomScaleNormal="85" workbookViewId="0">
      <pane xSplit="2" ySplit="5" topLeftCell="C6" activePane="bottomRight" state="frozen"/>
      <selection pane="topRight" activeCell="C1" sqref="C1"/>
      <selection pane="bottomLeft" activeCell="A6" sqref="A6"/>
      <selection pane="bottomRight" activeCell="C6" sqref="C6"/>
    </sheetView>
  </sheetViews>
  <sheetFormatPr defaultRowHeight="12.3"/>
  <cols>
    <col min="1" max="1" width="6.578125" style="78" customWidth="1"/>
    <col min="2" max="2" width="40.578125" style="78" customWidth="1"/>
    <col min="3" max="4" width="20.578125" style="78" customWidth="1"/>
    <col min="5" max="5" width="16.578125" style="78" customWidth="1"/>
    <col min="6" max="7" width="13.578125" style="78" customWidth="1"/>
    <col min="8" max="8" width="52.578125" style="78" customWidth="1"/>
    <col min="9" max="16384" width="8.83984375" style="78"/>
  </cols>
  <sheetData>
    <row r="1" spans="1:8" ht="25" customHeight="1">
      <c r="A1" s="228" t="s">
        <v>0</v>
      </c>
      <c r="B1" s="228"/>
      <c r="C1" s="228"/>
      <c r="D1" s="228"/>
      <c r="E1" s="228"/>
      <c r="F1" s="228"/>
      <c r="G1" s="228"/>
      <c r="H1" s="228"/>
    </row>
    <row r="2" spans="1:8" ht="34" customHeight="1">
      <c r="A2" s="229" t="s">
        <v>310</v>
      </c>
      <c r="B2" s="229"/>
      <c r="C2" s="229"/>
      <c r="D2" s="229"/>
      <c r="E2" s="229"/>
      <c r="F2" s="229"/>
      <c r="G2" s="229"/>
      <c r="H2" s="229"/>
    </row>
    <row r="3" spans="1:8" ht="31" customHeight="1">
      <c r="A3" s="230" t="s">
        <v>311</v>
      </c>
      <c r="B3" s="230"/>
      <c r="C3" s="231" t="str">
        <f>IF(COUNTIF(G6:G22,"REVIEW")=0,"MODEL OK","REVIEW REQUIRED")</f>
        <v>MODEL OK</v>
      </c>
      <c r="D3" s="231"/>
      <c r="E3" s="231"/>
      <c r="F3" s="231"/>
      <c r="G3" s="231"/>
      <c r="H3" s="231"/>
    </row>
    <row r="4" spans="1:8" ht="27" customHeight="1">
      <c r="A4" s="232" t="s">
        <v>312</v>
      </c>
      <c r="B4" s="232"/>
      <c r="C4" s="232"/>
      <c r="D4" s="232"/>
      <c r="E4" s="232"/>
      <c r="F4" s="232"/>
      <c r="G4" s="232"/>
      <c r="H4" s="232"/>
    </row>
    <row r="5" spans="1:8" ht="23.05" customHeight="1">
      <c r="A5" s="79" t="s">
        <v>313</v>
      </c>
      <c r="B5" s="79" t="s">
        <v>314</v>
      </c>
      <c r="C5" s="79" t="s">
        <v>315</v>
      </c>
      <c r="D5" s="79" t="s">
        <v>316</v>
      </c>
      <c r="E5" s="79" t="s">
        <v>317</v>
      </c>
      <c r="F5" s="79" t="s">
        <v>318</v>
      </c>
      <c r="G5" s="79" t="s">
        <v>285</v>
      </c>
      <c r="H5" s="79" t="s">
        <v>319</v>
      </c>
    </row>
    <row r="6" spans="1:8" ht="31" customHeight="1">
      <c r="A6" s="83">
        <v>1</v>
      </c>
      <c r="B6" s="80" t="s">
        <v>320</v>
      </c>
      <c r="C6" s="94">
        <f>Assumptions!B2</f>
        <v>1</v>
      </c>
      <c r="D6" s="94" t="s">
        <v>321</v>
      </c>
      <c r="E6" s="94">
        <f>IF(AND(C6&gt;=1,C6&lt;=3),0,1)</f>
        <v>0</v>
      </c>
      <c r="F6" s="94">
        <v>0</v>
      </c>
      <c r="G6" s="86" t="str">
        <f t="shared" ref="G6:G22" si="0">IF(E6&lt;=F6,"OK","REVIEW")</f>
        <v>OK</v>
      </c>
      <c r="H6" s="89" t="s">
        <v>322</v>
      </c>
    </row>
    <row r="7" spans="1:8" ht="31" customHeight="1">
      <c r="A7" s="84">
        <v>2</v>
      </c>
      <c r="B7" s="81" t="s">
        <v>323</v>
      </c>
      <c r="C7" s="95">
        <f>Assumptions!B54</f>
        <v>95</v>
      </c>
      <c r="D7" s="95">
        <f>Sales!H62</f>
        <v>95</v>
      </c>
      <c r="E7" s="95">
        <f t="shared" ref="E7:E22" si="1">ABS(C7-D7)</f>
        <v>0</v>
      </c>
      <c r="F7" s="95">
        <v>0</v>
      </c>
      <c r="G7" s="87" t="str">
        <f t="shared" si="0"/>
        <v>OK</v>
      </c>
      <c r="H7" s="90" t="s">
        <v>324</v>
      </c>
    </row>
    <row r="8" spans="1:8" ht="31" customHeight="1">
      <c r="A8" s="84">
        <v>3</v>
      </c>
      <c r="B8" s="81" t="s">
        <v>325</v>
      </c>
      <c r="C8" s="92">
        <f>Sales!B17</f>
        <v>1</v>
      </c>
      <c r="D8" s="92">
        <v>1</v>
      </c>
      <c r="E8" s="92">
        <f t="shared" si="1"/>
        <v>0</v>
      </c>
      <c r="F8" s="92">
        <v>9.9999999999999995E-7</v>
      </c>
      <c r="G8" s="87" t="str">
        <f t="shared" si="0"/>
        <v>OK</v>
      </c>
      <c r="H8" s="90" t="s">
        <v>326</v>
      </c>
    </row>
    <row r="9" spans="1:8" ht="31" customHeight="1">
      <c r="A9" s="84">
        <v>4</v>
      </c>
      <c r="B9" s="81" t="s">
        <v>327</v>
      </c>
      <c r="C9" s="93">
        <f>Sales!P62</f>
        <v>1119327144.0365865</v>
      </c>
      <c r="D9" s="93">
        <f>Sales!U62</f>
        <v>1119327144.0365865</v>
      </c>
      <c r="E9" s="93">
        <f t="shared" si="1"/>
        <v>0</v>
      </c>
      <c r="F9" s="93">
        <v>1</v>
      </c>
      <c r="G9" s="87" t="str">
        <f t="shared" si="0"/>
        <v>OK</v>
      </c>
      <c r="H9" s="90" t="s">
        <v>328</v>
      </c>
    </row>
    <row r="10" spans="1:8" ht="31" customHeight="1">
      <c r="A10" s="84">
        <v>5</v>
      </c>
      <c r="B10" s="81" t="s">
        <v>329</v>
      </c>
      <c r="C10" s="95">
        <f>Cashflow!G41</f>
        <v>95</v>
      </c>
      <c r="D10" s="95">
        <f>Assumptions!B54</f>
        <v>95</v>
      </c>
      <c r="E10" s="95">
        <f t="shared" si="1"/>
        <v>0</v>
      </c>
      <c r="F10" s="95">
        <v>0</v>
      </c>
      <c r="G10" s="87" t="str">
        <f t="shared" si="0"/>
        <v>OK</v>
      </c>
      <c r="H10" s="90" t="s">
        <v>330</v>
      </c>
    </row>
    <row r="11" spans="1:8" ht="31" customHeight="1">
      <c r="A11" s="84">
        <v>6</v>
      </c>
      <c r="B11" s="81" t="s">
        <v>331</v>
      </c>
      <c r="C11" s="93">
        <f>Cashflow!K41</f>
        <v>1119327144.0365865</v>
      </c>
      <c r="D11" s="93">
        <f>Sales!U62</f>
        <v>1119327144.0365865</v>
      </c>
      <c r="E11" s="93">
        <f t="shared" si="1"/>
        <v>0</v>
      </c>
      <c r="F11" s="93">
        <v>1</v>
      </c>
      <c r="G11" s="87" t="str">
        <f t="shared" si="0"/>
        <v>OK</v>
      </c>
      <c r="H11" s="90" t="s">
        <v>332</v>
      </c>
    </row>
    <row r="12" spans="1:8" ht="31" customHeight="1">
      <c r="A12" s="84">
        <v>7</v>
      </c>
      <c r="B12" s="81" t="s">
        <v>333</v>
      </c>
      <c r="C12" s="93">
        <f>Cashflow!F41</f>
        <v>932776471.18035519</v>
      </c>
      <c r="D12" s="93">
        <f>'Returns &amp; Waterfall'!B5</f>
        <v>932776471.18035519</v>
      </c>
      <c r="E12" s="93">
        <f t="shared" si="1"/>
        <v>0</v>
      </c>
      <c r="F12" s="93">
        <v>1</v>
      </c>
      <c r="G12" s="87" t="str">
        <f t="shared" si="0"/>
        <v>OK</v>
      </c>
      <c r="H12" s="90" t="s">
        <v>334</v>
      </c>
    </row>
    <row r="13" spans="1:8" ht="31" customHeight="1">
      <c r="A13" s="84">
        <v>8</v>
      </c>
      <c r="B13" s="81" t="s">
        <v>335</v>
      </c>
      <c r="C13" s="93">
        <f>Cashflow!O41</f>
        <v>6728111.150364616</v>
      </c>
      <c r="D13" s="93">
        <f>'Returns &amp; Waterfall'!B6</f>
        <v>6728111.150364616</v>
      </c>
      <c r="E13" s="93">
        <f t="shared" si="1"/>
        <v>0</v>
      </c>
      <c r="F13" s="93">
        <v>1</v>
      </c>
      <c r="G13" s="87" t="str">
        <f t="shared" si="0"/>
        <v>OK</v>
      </c>
      <c r="H13" s="90" t="s">
        <v>336</v>
      </c>
    </row>
    <row r="14" spans="1:8" ht="31" customHeight="1">
      <c r="A14" s="84">
        <v>9</v>
      </c>
      <c r="B14" s="81" t="s">
        <v>337</v>
      </c>
      <c r="C14" s="95">
        <f>SUMPRODUCT(ABS(Cashflow!Q4:Q40-(Cashflow!N4:N40+Cashflow!M4:M40+Cashflow!O4:O40-Cashflow!P4:P40)))</f>
        <v>0</v>
      </c>
      <c r="D14" s="95">
        <v>0</v>
      </c>
      <c r="E14" s="95">
        <f t="shared" si="1"/>
        <v>0</v>
      </c>
      <c r="F14" s="95">
        <v>1</v>
      </c>
      <c r="G14" s="87" t="str">
        <f t="shared" si="0"/>
        <v>OK</v>
      </c>
      <c r="H14" s="90" t="s">
        <v>338</v>
      </c>
    </row>
    <row r="15" spans="1:8" ht="31" customHeight="1">
      <c r="A15" s="84">
        <v>10</v>
      </c>
      <c r="B15" s="81" t="s">
        <v>339</v>
      </c>
      <c r="C15" s="95">
        <f>ABS(Cashflow!S4-Cashflow!R4)+SUMPRODUCT(ABS(Cashflow!S5:S40-(Cashflow!S4:S39+Cashflow!R5:R40)))</f>
        <v>0</v>
      </c>
      <c r="D15" s="95">
        <v>0</v>
      </c>
      <c r="E15" s="95">
        <f t="shared" si="1"/>
        <v>0</v>
      </c>
      <c r="F15" s="95">
        <v>1</v>
      </c>
      <c r="G15" s="87" t="str">
        <f t="shared" si="0"/>
        <v>OK</v>
      </c>
      <c r="H15" s="90" t="s">
        <v>340</v>
      </c>
    </row>
    <row r="16" spans="1:8" ht="31" customHeight="1">
      <c r="A16" s="84">
        <v>11</v>
      </c>
      <c r="B16" s="81" t="s">
        <v>341</v>
      </c>
      <c r="C16" s="93">
        <f>'Returns &amp; Waterfall'!B4-'Returns &amp; Waterfall'!B9</f>
        <v>177898860.39131153</v>
      </c>
      <c r="D16" s="93">
        <f>'Returns &amp; Waterfall'!B10</f>
        <v>177898860.39131153</v>
      </c>
      <c r="E16" s="93">
        <f t="shared" si="1"/>
        <v>0</v>
      </c>
      <c r="F16" s="93">
        <v>1</v>
      </c>
      <c r="G16" s="87" t="str">
        <f t="shared" si="0"/>
        <v>OK</v>
      </c>
      <c r="H16" s="90" t="s">
        <v>342</v>
      </c>
    </row>
    <row r="17" spans="1:8" ht="31" customHeight="1">
      <c r="A17" s="84">
        <v>12</v>
      </c>
      <c r="B17" s="81" t="s">
        <v>343</v>
      </c>
      <c r="C17" s="93">
        <f>'Returns &amp; Waterfall'!F12+(Cashflow!B41+Cashflow!C41-SUM('Returns &amp; Waterfall'!F5:F8))</f>
        <v>941428283.64527488</v>
      </c>
      <c r="D17" s="93">
        <f>'Returns &amp; Waterfall'!B9</f>
        <v>941428283.645275</v>
      </c>
      <c r="E17" s="93">
        <f t="shared" si="1"/>
        <v>1.1920928955078125E-7</v>
      </c>
      <c r="F17" s="93">
        <v>1</v>
      </c>
      <c r="G17" s="87" t="str">
        <f t="shared" si="0"/>
        <v>OK</v>
      </c>
      <c r="H17" s="90" t="s">
        <v>354</v>
      </c>
    </row>
    <row r="18" spans="1:8" ht="31" customHeight="1">
      <c r="A18" s="84">
        <v>13</v>
      </c>
      <c r="B18" s="81" t="s">
        <v>344</v>
      </c>
      <c r="C18" s="92">
        <f>Assumptions!B45+Assumptions!B46</f>
        <v>1</v>
      </c>
      <c r="D18" s="92">
        <v>1</v>
      </c>
      <c r="E18" s="92">
        <f t="shared" si="1"/>
        <v>0</v>
      </c>
      <c r="F18" s="92">
        <v>9.9999999999999995E-7</v>
      </c>
      <c r="G18" s="87" t="str">
        <f t="shared" si="0"/>
        <v>OK</v>
      </c>
      <c r="H18" s="90" t="s">
        <v>345</v>
      </c>
    </row>
    <row r="19" spans="1:8" ht="31" customHeight="1">
      <c r="A19" s="84">
        <v>14</v>
      </c>
      <c r="B19" s="81" t="s">
        <v>346</v>
      </c>
      <c r="C19" s="93">
        <f>'Returns &amp; Waterfall'!B34+'Returns &amp; Waterfall'!B35</f>
        <v>179822561.70586669</v>
      </c>
      <c r="D19" s="93">
        <f>'Returns &amp; Waterfall'!B29</f>
        <v>179822561.70586669</v>
      </c>
      <c r="E19" s="93">
        <f t="shared" si="1"/>
        <v>0</v>
      </c>
      <c r="F19" s="93">
        <v>1</v>
      </c>
      <c r="G19" s="87" t="str">
        <f t="shared" si="0"/>
        <v>OK</v>
      </c>
      <c r="H19" s="90" t="s">
        <v>347</v>
      </c>
    </row>
    <row r="20" spans="1:8" ht="31" customHeight="1">
      <c r="A20" s="84">
        <v>15</v>
      </c>
      <c r="B20" s="81" t="s">
        <v>348</v>
      </c>
      <c r="C20" s="93">
        <f>'Returns &amp; Waterfall'!B10*(1-Assumptions!B75)</f>
        <v>124529202.27391806</v>
      </c>
      <c r="D20" s="93">
        <f>'Returns &amp; Waterfall'!B46</f>
        <v>124529202.27391806</v>
      </c>
      <c r="E20" s="93">
        <f t="shared" si="1"/>
        <v>0</v>
      </c>
      <c r="F20" s="93">
        <v>1</v>
      </c>
      <c r="G20" s="87" t="str">
        <f t="shared" si="0"/>
        <v>OK</v>
      </c>
      <c r="H20" s="90" t="s">
        <v>349</v>
      </c>
    </row>
    <row r="21" spans="1:8" ht="31" customHeight="1">
      <c r="A21" s="84">
        <v>16</v>
      </c>
      <c r="B21" s="81" t="s">
        <v>350</v>
      </c>
      <c r="C21" s="95">
        <f>COUNTIF('Lender &amp; Risk'!D12:D16,"PASS")</f>
        <v>5</v>
      </c>
      <c r="D21" s="95">
        <v>5</v>
      </c>
      <c r="E21" s="95">
        <f t="shared" si="1"/>
        <v>0</v>
      </c>
      <c r="F21" s="95">
        <v>0</v>
      </c>
      <c r="G21" s="87" t="str">
        <f t="shared" si="0"/>
        <v>OK</v>
      </c>
      <c r="H21" s="90" t="s">
        <v>351</v>
      </c>
    </row>
    <row r="22" spans="1:8" ht="31" customHeight="1">
      <c r="A22" s="85">
        <v>17</v>
      </c>
      <c r="B22" s="82" t="s">
        <v>352</v>
      </c>
      <c r="C22" s="96">
        <f>SUMPRODUCT(--ISERROR(Assumptions!B2:F89))+SUMPRODUCT(--ISERROR(Sales!A4:V64))+SUMPRODUCT(--ISERROR(Cashflow!A4:X41))+SUMPRODUCT(--ISERROR('Returns &amp; Waterfall'!A4:F65))+SUMPRODUCT(--ISERROR(Sensitivity!B4:G18))+SUMPRODUCT(--ISERROR('Lender &amp; Risk'!A4:P34))</f>
        <v>0</v>
      </c>
      <c r="D22" s="96">
        <v>0</v>
      </c>
      <c r="E22" s="96">
        <f t="shared" si="1"/>
        <v>0</v>
      </c>
      <c r="F22" s="96">
        <v>0</v>
      </c>
      <c r="G22" s="88" t="str">
        <f t="shared" si="0"/>
        <v>OK</v>
      </c>
      <c r="H22" s="91" t="s">
        <v>353</v>
      </c>
    </row>
  </sheetData>
  <mergeCells count="5">
    <mergeCell ref="A1:H1"/>
    <mergeCell ref="A2:H2"/>
    <mergeCell ref="A3:B3"/>
    <mergeCell ref="C3:H3"/>
    <mergeCell ref="A4:H4"/>
  </mergeCells>
  <conditionalFormatting sqref="G6:G22">
    <cfRule type="expression" dxfId="17" priority="1" stopIfTrue="1">
      <formula>G6="OK"</formula>
    </cfRule>
    <cfRule type="expression" dxfId="16" priority="2" stopIfTrue="1">
      <formula>G6="REVIEW"</formula>
    </cfRule>
  </conditionalFormatting>
  <conditionalFormatting sqref="C3:H3">
    <cfRule type="expression" dxfId="15" priority="3" stopIfTrue="1">
      <formula>C3="MODEL OK"</formula>
    </cfRule>
    <cfRule type="expression" dxfId="14" priority="4" stopIfTrue="1">
      <formula>C3="REVIEW REQUIRED"</formula>
    </cfRule>
  </conditionalFormatting>
  <pageMargins left="0.27777777777777779" right="0.27777777777777779" top="0.33333333333333331" bottom="0.33333333333333331" header="0.3" footer="0.3"/>
  <pageSetup scale="7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3B379-3C89-4A4D-B79B-82818024DD4D}">
  <sheetPr>
    <pageSetUpPr fitToPage="1"/>
  </sheetPr>
  <dimension ref="A1:L82"/>
  <sheetViews>
    <sheetView showGridLines="0" zoomScale="70" zoomScaleNormal="70" workbookViewId="0">
      <pane xSplit="3" ySplit="6" topLeftCell="D7" activePane="bottomRight" state="frozen"/>
      <selection pane="topRight" activeCell="D1" sqref="D1"/>
      <selection pane="bottomLeft" activeCell="A7" sqref="A7"/>
      <selection pane="bottomRight" activeCell="D37" sqref="D37"/>
    </sheetView>
  </sheetViews>
  <sheetFormatPr defaultRowHeight="11.4"/>
  <cols>
    <col min="1" max="1" width="17.578125" style="97" customWidth="1"/>
    <col min="2" max="2" width="31.578125" style="97" customWidth="1"/>
    <col min="3" max="3" width="23.578125" style="97" customWidth="1"/>
    <col min="4" max="5" width="18.578125" style="97" customWidth="1"/>
    <col min="6" max="6" width="35.578125" style="97" customWidth="1"/>
    <col min="7" max="7" width="42.578125" style="97" customWidth="1"/>
    <col min="8" max="8" width="13.578125" style="97" customWidth="1"/>
    <col min="9" max="9" width="18.578125" style="97" customWidth="1"/>
    <col min="10" max="10" width="17.578125" style="97" customWidth="1"/>
    <col min="11" max="11" width="13.578125" style="97" customWidth="1"/>
    <col min="12" max="12" width="34.578125" style="97" customWidth="1"/>
    <col min="13" max="16384" width="8.83984375" style="97"/>
  </cols>
  <sheetData>
    <row r="1" spans="1:12" ht="25" customHeight="1">
      <c r="A1" s="228" t="s">
        <v>0</v>
      </c>
      <c r="B1" s="228"/>
      <c r="C1" s="228"/>
      <c r="D1" s="228"/>
      <c r="E1" s="228"/>
      <c r="F1" s="228"/>
      <c r="G1" s="228"/>
      <c r="H1" s="228"/>
      <c r="I1" s="228"/>
      <c r="J1" s="228"/>
      <c r="K1" s="228"/>
      <c r="L1" s="228"/>
    </row>
    <row r="2" spans="1:12" ht="34" customHeight="1">
      <c r="A2" s="234" t="s">
        <v>355</v>
      </c>
      <c r="B2" s="234"/>
      <c r="C2" s="234"/>
      <c r="D2" s="234"/>
      <c r="E2" s="234"/>
      <c r="F2" s="234"/>
      <c r="G2" s="234"/>
      <c r="H2" s="234"/>
      <c r="I2" s="234"/>
      <c r="J2" s="234"/>
      <c r="K2" s="234"/>
      <c r="L2" s="234"/>
    </row>
    <row r="3" spans="1:12" ht="29.05" customHeight="1">
      <c r="A3" s="235" t="s">
        <v>356</v>
      </c>
      <c r="B3" s="235"/>
      <c r="C3" s="236">
        <f>COUNTIF(J7:J84,"DOCUMENTED")</f>
        <v>0</v>
      </c>
      <c r="D3" s="237"/>
      <c r="E3" s="238">
        <f>COUNTIF(J7:J84,"NEEDS SOURCE")+COUNTIF(J7:J84,"DATE NEEDED")</f>
        <v>76</v>
      </c>
      <c r="F3" s="237"/>
      <c r="G3" s="237" t="str">
        <f>IF(E3=0,"REGISTER COMPLETE","DOCUMENTATION INCOMPLETE")</f>
        <v>DOCUMENTATION INCOMPLETE</v>
      </c>
      <c r="H3" s="237"/>
      <c r="I3" s="237"/>
      <c r="J3" s="237"/>
      <c r="K3" s="237"/>
      <c r="L3" s="237"/>
    </row>
    <row r="4" spans="1:12" ht="22" customHeight="1">
      <c r="A4" s="233" t="s">
        <v>357</v>
      </c>
      <c r="B4" s="233"/>
      <c r="C4" s="233"/>
      <c r="D4" s="233"/>
      <c r="E4" s="233"/>
      <c r="F4" s="233"/>
      <c r="G4" s="233"/>
      <c r="H4" s="233"/>
      <c r="I4" s="233"/>
      <c r="J4" s="233"/>
      <c r="K4" s="233"/>
      <c r="L4" s="233"/>
    </row>
    <row r="5" spans="1:12" ht="22" customHeight="1">
      <c r="A5" s="233" t="s">
        <v>358</v>
      </c>
      <c r="B5" s="233"/>
      <c r="C5" s="233"/>
      <c r="D5" s="233"/>
      <c r="E5" s="233"/>
      <c r="F5" s="233"/>
      <c r="G5" s="233"/>
      <c r="H5" s="233"/>
      <c r="I5" s="233"/>
      <c r="J5" s="233"/>
      <c r="K5" s="233"/>
      <c r="L5" s="233"/>
    </row>
    <row r="6" spans="1:12" ht="27" customHeight="1">
      <c r="A6" s="98" t="s">
        <v>359</v>
      </c>
      <c r="B6" s="98" t="s">
        <v>360</v>
      </c>
      <c r="C6" s="98" t="s">
        <v>361</v>
      </c>
      <c r="D6" s="98" t="s">
        <v>362</v>
      </c>
      <c r="E6" s="98" t="s">
        <v>363</v>
      </c>
      <c r="F6" s="98" t="s">
        <v>364</v>
      </c>
      <c r="G6" s="98" t="s">
        <v>365</v>
      </c>
      <c r="H6" s="98" t="s">
        <v>366</v>
      </c>
      <c r="I6" s="98" t="s">
        <v>367</v>
      </c>
      <c r="J6" s="98" t="s">
        <v>285</v>
      </c>
      <c r="K6" s="98" t="s">
        <v>368</v>
      </c>
      <c r="L6" s="98" t="s">
        <v>369</v>
      </c>
    </row>
    <row r="7" spans="1:12" ht="31" customHeight="1">
      <c r="A7" s="99" t="s">
        <v>370</v>
      </c>
      <c r="B7" s="99" t="s">
        <v>69</v>
      </c>
      <c r="C7" s="102" t="str">
        <f>HYPERLINK("#'Assumptions'!B2","Assumptions!B2")</f>
        <v>Assumptions!B2</v>
      </c>
      <c r="D7" s="105">
        <f>Assumptions!B2</f>
        <v>1</v>
      </c>
      <c r="E7" s="99" t="s">
        <v>371</v>
      </c>
      <c r="F7" s="113" t="s">
        <v>372</v>
      </c>
      <c r="G7" s="114"/>
      <c r="H7" s="119"/>
      <c r="I7" s="107"/>
      <c r="J7" s="108" t="str">
        <f t="shared" ref="J7:J38" si="0">IF(G7="","NEEDS SOURCE",IF(H7="","DATE NEEDED","DOCUMENTED"))</f>
        <v>NEEDS SOURCE</v>
      </c>
      <c r="K7" s="107" t="s">
        <v>373</v>
      </c>
      <c r="L7" s="113" t="s">
        <v>374</v>
      </c>
    </row>
    <row r="8" spans="1:12" ht="31" customHeight="1">
      <c r="A8" s="100" t="s">
        <v>375</v>
      </c>
      <c r="B8" s="100" t="s">
        <v>376</v>
      </c>
      <c r="C8" s="103" t="str">
        <f>HYPERLINK("#'Assumptions'!B7","Assumptions!B7")</f>
        <v>Assumptions!B7</v>
      </c>
      <c r="D8" s="106">
        <f>Assumptions!B7</f>
        <v>18</v>
      </c>
      <c r="E8" s="100" t="s">
        <v>377</v>
      </c>
      <c r="F8" s="115" t="s">
        <v>378</v>
      </c>
      <c r="G8" s="116"/>
      <c r="H8" s="120"/>
      <c r="I8" s="109"/>
      <c r="J8" s="110" t="str">
        <f t="shared" si="0"/>
        <v>NEEDS SOURCE</v>
      </c>
      <c r="K8" s="109" t="s">
        <v>373</v>
      </c>
      <c r="L8" s="115" t="s">
        <v>379</v>
      </c>
    </row>
    <row r="9" spans="1:12" ht="31" customHeight="1">
      <c r="A9" s="100" t="s">
        <v>375</v>
      </c>
      <c r="B9" s="100" t="s">
        <v>380</v>
      </c>
      <c r="C9" s="103" t="str">
        <f>HYPERLINK("#'Assumptions'!C7","Assumptions!C7")</f>
        <v>Assumptions!C7</v>
      </c>
      <c r="D9" s="106">
        <f>Assumptions!C7</f>
        <v>32</v>
      </c>
      <c r="E9" s="100" t="s">
        <v>381</v>
      </c>
      <c r="F9" s="115" t="s">
        <v>378</v>
      </c>
      <c r="G9" s="116"/>
      <c r="H9" s="120"/>
      <c r="I9" s="109"/>
      <c r="J9" s="110" t="str">
        <f t="shared" si="0"/>
        <v>NEEDS SOURCE</v>
      </c>
      <c r="K9" s="109" t="s">
        <v>373</v>
      </c>
      <c r="L9" s="115" t="s">
        <v>382</v>
      </c>
    </row>
    <row r="10" spans="1:12" ht="31" customHeight="1">
      <c r="A10" s="100" t="s">
        <v>375</v>
      </c>
      <c r="B10" s="100" t="s">
        <v>383</v>
      </c>
      <c r="C10" s="103" t="str">
        <f>HYPERLINK("#'Assumptions'!D7","Assumptions!D7")</f>
        <v>Assumptions!D7</v>
      </c>
      <c r="D10" s="106">
        <f>Assumptions!D7</f>
        <v>155000</v>
      </c>
      <c r="E10" s="100" t="s">
        <v>384</v>
      </c>
      <c r="F10" s="115" t="s">
        <v>385</v>
      </c>
      <c r="G10" s="116"/>
      <c r="H10" s="120"/>
      <c r="I10" s="109"/>
      <c r="J10" s="110" t="str">
        <f t="shared" si="0"/>
        <v>NEEDS SOURCE</v>
      </c>
      <c r="K10" s="109" t="s">
        <v>373</v>
      </c>
      <c r="L10" s="115" t="s">
        <v>386</v>
      </c>
    </row>
    <row r="11" spans="1:12" ht="31" customHeight="1">
      <c r="A11" s="100" t="s">
        <v>375</v>
      </c>
      <c r="B11" s="100" t="s">
        <v>387</v>
      </c>
      <c r="C11" s="103" t="str">
        <f>HYPERLINK("#'Assumptions'!B8","Assumptions!B8")</f>
        <v>Assumptions!B8</v>
      </c>
      <c r="D11" s="106">
        <f>Assumptions!B8</f>
        <v>30</v>
      </c>
      <c r="E11" s="100" t="s">
        <v>377</v>
      </c>
      <c r="F11" s="115" t="s">
        <v>378</v>
      </c>
      <c r="G11" s="116"/>
      <c r="H11" s="120"/>
      <c r="I11" s="109"/>
      <c r="J11" s="110" t="str">
        <f t="shared" si="0"/>
        <v>NEEDS SOURCE</v>
      </c>
      <c r="K11" s="109" t="s">
        <v>373</v>
      </c>
      <c r="L11" s="115" t="s">
        <v>379</v>
      </c>
    </row>
    <row r="12" spans="1:12" ht="31" customHeight="1">
      <c r="A12" s="100" t="s">
        <v>375</v>
      </c>
      <c r="B12" s="100" t="s">
        <v>388</v>
      </c>
      <c r="C12" s="103" t="str">
        <f>HYPERLINK("#'Assumptions'!C8","Assumptions!C8")</f>
        <v>Assumptions!C8</v>
      </c>
      <c r="D12" s="106">
        <f>Assumptions!C8</f>
        <v>52</v>
      </c>
      <c r="E12" s="100" t="s">
        <v>381</v>
      </c>
      <c r="F12" s="115" t="s">
        <v>378</v>
      </c>
      <c r="G12" s="116"/>
      <c r="H12" s="120"/>
      <c r="I12" s="109"/>
      <c r="J12" s="110" t="str">
        <f t="shared" si="0"/>
        <v>NEEDS SOURCE</v>
      </c>
      <c r="K12" s="109" t="s">
        <v>373</v>
      </c>
      <c r="L12" s="115" t="s">
        <v>382</v>
      </c>
    </row>
    <row r="13" spans="1:12" ht="31" customHeight="1">
      <c r="A13" s="100" t="s">
        <v>375</v>
      </c>
      <c r="B13" s="100" t="s">
        <v>389</v>
      </c>
      <c r="C13" s="103" t="str">
        <f>HYPERLINK("#'Assumptions'!D8","Assumptions!D8")</f>
        <v>Assumptions!D8</v>
      </c>
      <c r="D13" s="106">
        <f>Assumptions!D8</f>
        <v>148000</v>
      </c>
      <c r="E13" s="100" t="s">
        <v>384</v>
      </c>
      <c r="F13" s="115" t="s">
        <v>385</v>
      </c>
      <c r="G13" s="116"/>
      <c r="H13" s="120"/>
      <c r="I13" s="109"/>
      <c r="J13" s="110" t="str">
        <f t="shared" si="0"/>
        <v>NEEDS SOURCE</v>
      </c>
      <c r="K13" s="109" t="s">
        <v>373</v>
      </c>
      <c r="L13" s="115" t="s">
        <v>386</v>
      </c>
    </row>
    <row r="14" spans="1:12" ht="31" customHeight="1">
      <c r="A14" s="100" t="s">
        <v>375</v>
      </c>
      <c r="B14" s="100" t="s">
        <v>390</v>
      </c>
      <c r="C14" s="103" t="str">
        <f>HYPERLINK("#'Assumptions'!B9","Assumptions!B9")</f>
        <v>Assumptions!B9</v>
      </c>
      <c r="D14" s="106">
        <f>Assumptions!B9</f>
        <v>28</v>
      </c>
      <c r="E14" s="100" t="s">
        <v>377</v>
      </c>
      <c r="F14" s="115" t="s">
        <v>378</v>
      </c>
      <c r="G14" s="116"/>
      <c r="H14" s="120"/>
      <c r="I14" s="109"/>
      <c r="J14" s="110" t="str">
        <f t="shared" si="0"/>
        <v>NEEDS SOURCE</v>
      </c>
      <c r="K14" s="109" t="s">
        <v>373</v>
      </c>
      <c r="L14" s="115" t="s">
        <v>379</v>
      </c>
    </row>
    <row r="15" spans="1:12" ht="31" customHeight="1">
      <c r="A15" s="100" t="s">
        <v>375</v>
      </c>
      <c r="B15" s="100" t="s">
        <v>391</v>
      </c>
      <c r="C15" s="103" t="str">
        <f>HYPERLINK("#'Assumptions'!C9","Assumptions!C9")</f>
        <v>Assumptions!C9</v>
      </c>
      <c r="D15" s="106">
        <f>Assumptions!C9</f>
        <v>86</v>
      </c>
      <c r="E15" s="100" t="s">
        <v>381</v>
      </c>
      <c r="F15" s="115" t="s">
        <v>378</v>
      </c>
      <c r="G15" s="116"/>
      <c r="H15" s="120"/>
      <c r="I15" s="109"/>
      <c r="J15" s="110" t="str">
        <f t="shared" si="0"/>
        <v>NEEDS SOURCE</v>
      </c>
      <c r="K15" s="109" t="s">
        <v>373</v>
      </c>
      <c r="L15" s="115" t="s">
        <v>382</v>
      </c>
    </row>
    <row r="16" spans="1:12" ht="31" customHeight="1">
      <c r="A16" s="100" t="s">
        <v>375</v>
      </c>
      <c r="B16" s="100" t="s">
        <v>392</v>
      </c>
      <c r="C16" s="103" t="str">
        <f>HYPERLINK("#'Assumptions'!D9","Assumptions!D9")</f>
        <v>Assumptions!D9</v>
      </c>
      <c r="D16" s="106">
        <f>Assumptions!D9</f>
        <v>142000</v>
      </c>
      <c r="E16" s="100" t="s">
        <v>384</v>
      </c>
      <c r="F16" s="115" t="s">
        <v>385</v>
      </c>
      <c r="G16" s="116"/>
      <c r="H16" s="120"/>
      <c r="I16" s="109"/>
      <c r="J16" s="110" t="str">
        <f t="shared" si="0"/>
        <v>NEEDS SOURCE</v>
      </c>
      <c r="K16" s="109" t="s">
        <v>373</v>
      </c>
      <c r="L16" s="115" t="s">
        <v>386</v>
      </c>
    </row>
    <row r="17" spans="1:12" ht="31" customHeight="1">
      <c r="A17" s="100" t="s">
        <v>375</v>
      </c>
      <c r="B17" s="100" t="s">
        <v>393</v>
      </c>
      <c r="C17" s="103" t="str">
        <f>HYPERLINK("#'Assumptions'!B10","Assumptions!B10")</f>
        <v>Assumptions!B10</v>
      </c>
      <c r="D17" s="106">
        <f>Assumptions!B10</f>
        <v>15</v>
      </c>
      <c r="E17" s="100" t="s">
        <v>377</v>
      </c>
      <c r="F17" s="115" t="s">
        <v>378</v>
      </c>
      <c r="G17" s="116"/>
      <c r="H17" s="120"/>
      <c r="I17" s="109"/>
      <c r="J17" s="110" t="str">
        <f t="shared" si="0"/>
        <v>NEEDS SOURCE</v>
      </c>
      <c r="K17" s="109" t="s">
        <v>373</v>
      </c>
      <c r="L17" s="115" t="s">
        <v>379</v>
      </c>
    </row>
    <row r="18" spans="1:12" ht="31" customHeight="1">
      <c r="A18" s="100" t="s">
        <v>375</v>
      </c>
      <c r="B18" s="100" t="s">
        <v>394</v>
      </c>
      <c r="C18" s="103" t="str">
        <f>HYPERLINK("#'Assumptions'!C10","Assumptions!C10")</f>
        <v>Assumptions!C10</v>
      </c>
      <c r="D18" s="106">
        <f>Assumptions!C10</f>
        <v>120</v>
      </c>
      <c r="E18" s="100" t="s">
        <v>381</v>
      </c>
      <c r="F18" s="115" t="s">
        <v>378</v>
      </c>
      <c r="G18" s="116"/>
      <c r="H18" s="120"/>
      <c r="I18" s="109"/>
      <c r="J18" s="110" t="str">
        <f t="shared" si="0"/>
        <v>NEEDS SOURCE</v>
      </c>
      <c r="K18" s="109" t="s">
        <v>373</v>
      </c>
      <c r="L18" s="115" t="s">
        <v>382</v>
      </c>
    </row>
    <row r="19" spans="1:12" ht="31" customHeight="1">
      <c r="A19" s="100" t="s">
        <v>375</v>
      </c>
      <c r="B19" s="100" t="s">
        <v>395</v>
      </c>
      <c r="C19" s="103" t="str">
        <f>HYPERLINK("#'Assumptions'!D10","Assumptions!D10")</f>
        <v>Assumptions!D10</v>
      </c>
      <c r="D19" s="106">
        <f>Assumptions!D10</f>
        <v>138000</v>
      </c>
      <c r="E19" s="100" t="s">
        <v>384</v>
      </c>
      <c r="F19" s="115" t="s">
        <v>385</v>
      </c>
      <c r="G19" s="116"/>
      <c r="H19" s="120"/>
      <c r="I19" s="109"/>
      <c r="J19" s="110" t="str">
        <f t="shared" si="0"/>
        <v>NEEDS SOURCE</v>
      </c>
      <c r="K19" s="109" t="s">
        <v>373</v>
      </c>
      <c r="L19" s="115" t="s">
        <v>386</v>
      </c>
    </row>
    <row r="20" spans="1:12" ht="31" customHeight="1">
      <c r="A20" s="100" t="s">
        <v>375</v>
      </c>
      <c r="B20" s="100" t="s">
        <v>396</v>
      </c>
      <c r="C20" s="103" t="str">
        <f>HYPERLINK("#'Assumptions'!B11","Assumptions!B11")</f>
        <v>Assumptions!B11</v>
      </c>
      <c r="D20" s="106">
        <f>Assumptions!B11</f>
        <v>4</v>
      </c>
      <c r="E20" s="100" t="s">
        <v>377</v>
      </c>
      <c r="F20" s="115" t="s">
        <v>378</v>
      </c>
      <c r="G20" s="116"/>
      <c r="H20" s="120"/>
      <c r="I20" s="109"/>
      <c r="J20" s="110" t="str">
        <f t="shared" si="0"/>
        <v>NEEDS SOURCE</v>
      </c>
      <c r="K20" s="109" t="s">
        <v>373</v>
      </c>
      <c r="L20" s="115" t="s">
        <v>379</v>
      </c>
    </row>
    <row r="21" spans="1:12" ht="31" customHeight="1">
      <c r="A21" s="100" t="s">
        <v>375</v>
      </c>
      <c r="B21" s="100" t="s">
        <v>397</v>
      </c>
      <c r="C21" s="103" t="str">
        <f>HYPERLINK("#'Assumptions'!C11","Assumptions!C11")</f>
        <v>Assumptions!C11</v>
      </c>
      <c r="D21" s="106">
        <f>Assumptions!C11</f>
        <v>180</v>
      </c>
      <c r="E21" s="100" t="s">
        <v>381</v>
      </c>
      <c r="F21" s="115" t="s">
        <v>378</v>
      </c>
      <c r="G21" s="116"/>
      <c r="H21" s="120"/>
      <c r="I21" s="109"/>
      <c r="J21" s="110" t="str">
        <f t="shared" si="0"/>
        <v>NEEDS SOURCE</v>
      </c>
      <c r="K21" s="109" t="s">
        <v>373</v>
      </c>
      <c r="L21" s="115" t="s">
        <v>382</v>
      </c>
    </row>
    <row r="22" spans="1:12" ht="31" customHeight="1">
      <c r="A22" s="100" t="s">
        <v>375</v>
      </c>
      <c r="B22" s="100" t="s">
        <v>398</v>
      </c>
      <c r="C22" s="103" t="str">
        <f>HYPERLINK("#'Assumptions'!D11","Assumptions!D11")</f>
        <v>Assumptions!D11</v>
      </c>
      <c r="D22" s="106">
        <f>Assumptions!D11</f>
        <v>162000</v>
      </c>
      <c r="E22" s="100" t="s">
        <v>384</v>
      </c>
      <c r="F22" s="115" t="s">
        <v>385</v>
      </c>
      <c r="G22" s="116"/>
      <c r="H22" s="120"/>
      <c r="I22" s="109"/>
      <c r="J22" s="110" t="str">
        <f t="shared" si="0"/>
        <v>NEEDS SOURCE</v>
      </c>
      <c r="K22" s="109" t="s">
        <v>373</v>
      </c>
      <c r="L22" s="115" t="s">
        <v>386</v>
      </c>
    </row>
    <row r="23" spans="1:12" ht="31" customHeight="1">
      <c r="A23" s="100" t="s">
        <v>375</v>
      </c>
      <c r="B23" s="100" t="s">
        <v>82</v>
      </c>
      <c r="C23" s="103" t="str">
        <f>HYPERLINK("#'Assumptions'!B13","Assumptions!B13")</f>
        <v>Assumptions!B13</v>
      </c>
      <c r="D23" s="106">
        <f>Assumptions!B13</f>
        <v>70</v>
      </c>
      <c r="E23" s="100" t="s">
        <v>399</v>
      </c>
      <c r="F23" s="115" t="s">
        <v>400</v>
      </c>
      <c r="G23" s="116"/>
      <c r="H23" s="120"/>
      <c r="I23" s="109"/>
      <c r="J23" s="110" t="str">
        <f t="shared" si="0"/>
        <v>NEEDS SOURCE</v>
      </c>
      <c r="K23" s="109" t="s">
        <v>373</v>
      </c>
      <c r="L23" s="115" t="s">
        <v>401</v>
      </c>
    </row>
    <row r="24" spans="1:12" ht="31" customHeight="1">
      <c r="A24" s="100" t="s">
        <v>375</v>
      </c>
      <c r="B24" s="100" t="s">
        <v>402</v>
      </c>
      <c r="C24" s="103" t="str">
        <f>HYPERLINK("#'Assumptions'!D13","Assumptions!D13")</f>
        <v>Assumptions!D13</v>
      </c>
      <c r="D24" s="106">
        <f>Assumptions!D13</f>
        <v>1200000</v>
      </c>
      <c r="E24" s="100" t="s">
        <v>403</v>
      </c>
      <c r="F24" s="115" t="s">
        <v>385</v>
      </c>
      <c r="G24" s="116"/>
      <c r="H24" s="120"/>
      <c r="I24" s="109"/>
      <c r="J24" s="110" t="str">
        <f t="shared" si="0"/>
        <v>NEEDS SOURCE</v>
      </c>
      <c r="K24" s="109" t="s">
        <v>373</v>
      </c>
      <c r="L24" s="115" t="s">
        <v>404</v>
      </c>
    </row>
    <row r="25" spans="1:12" ht="31" customHeight="1">
      <c r="A25" s="100" t="s">
        <v>405</v>
      </c>
      <c r="B25" s="100" t="s">
        <v>406</v>
      </c>
      <c r="C25" s="103" t="str">
        <f>HYPERLINK("#'Assumptions'!B17","Assumptions!B17")</f>
        <v>Assumptions!B17</v>
      </c>
      <c r="D25" s="122">
        <f>Assumptions!B17</f>
        <v>1</v>
      </c>
      <c r="E25" s="100" t="s">
        <v>407</v>
      </c>
      <c r="F25" s="115" t="s">
        <v>408</v>
      </c>
      <c r="G25" s="116"/>
      <c r="H25" s="120"/>
      <c r="I25" s="109"/>
      <c r="J25" s="110" t="str">
        <f t="shared" si="0"/>
        <v>NEEDS SOURCE</v>
      </c>
      <c r="K25" s="109" t="s">
        <v>373</v>
      </c>
      <c r="L25" s="115" t="s">
        <v>409</v>
      </c>
    </row>
    <row r="26" spans="1:12" ht="31" customHeight="1">
      <c r="A26" s="100" t="s">
        <v>405</v>
      </c>
      <c r="B26" s="100" t="s">
        <v>410</v>
      </c>
      <c r="C26" s="103" t="str">
        <f>HYPERLINK("#'Assumptions'!C17","Assumptions!C17")</f>
        <v>Assumptions!C17</v>
      </c>
      <c r="D26" s="122">
        <f>Assumptions!C17</f>
        <v>0.92</v>
      </c>
      <c r="E26" s="100" t="s">
        <v>407</v>
      </c>
      <c r="F26" s="115" t="s">
        <v>411</v>
      </c>
      <c r="G26" s="116"/>
      <c r="H26" s="120"/>
      <c r="I26" s="109"/>
      <c r="J26" s="110" t="str">
        <f t="shared" si="0"/>
        <v>NEEDS SOURCE</v>
      </c>
      <c r="K26" s="109" t="s">
        <v>373</v>
      </c>
      <c r="L26" s="115" t="s">
        <v>412</v>
      </c>
    </row>
    <row r="27" spans="1:12" ht="31" customHeight="1">
      <c r="A27" s="100" t="s">
        <v>405</v>
      </c>
      <c r="B27" s="100" t="s">
        <v>413</v>
      </c>
      <c r="C27" s="103" t="str">
        <f>HYPERLINK("#'Assumptions'!D17","Assumptions!D17")</f>
        <v>Assumptions!D17</v>
      </c>
      <c r="D27" s="122">
        <f>Assumptions!D17</f>
        <v>1.06</v>
      </c>
      <c r="E27" s="100" t="s">
        <v>407</v>
      </c>
      <c r="F27" s="115" t="s">
        <v>414</v>
      </c>
      <c r="G27" s="116"/>
      <c r="H27" s="120"/>
      <c r="I27" s="109"/>
      <c r="J27" s="110" t="str">
        <f t="shared" si="0"/>
        <v>NEEDS SOURCE</v>
      </c>
      <c r="K27" s="109" t="s">
        <v>373</v>
      </c>
      <c r="L27" s="115" t="s">
        <v>415</v>
      </c>
    </row>
    <row r="28" spans="1:12" ht="31" customHeight="1">
      <c r="A28" s="100" t="s">
        <v>405</v>
      </c>
      <c r="B28" s="100" t="s">
        <v>416</v>
      </c>
      <c r="C28" s="103" t="str">
        <f>HYPERLINK("#'Assumptions'!B18","Assumptions!B18")</f>
        <v>Assumptions!B18</v>
      </c>
      <c r="D28" s="106">
        <f>Assumptions!B18</f>
        <v>68000</v>
      </c>
      <c r="E28" s="100" t="s">
        <v>417</v>
      </c>
      <c r="F28" s="115" t="s">
        <v>418</v>
      </c>
      <c r="G28" s="116"/>
      <c r="H28" s="120"/>
      <c r="I28" s="109"/>
      <c r="J28" s="110" t="str">
        <f t="shared" si="0"/>
        <v>NEEDS SOURCE</v>
      </c>
      <c r="K28" s="109" t="s">
        <v>373</v>
      </c>
      <c r="L28" s="115" t="s">
        <v>419</v>
      </c>
    </row>
    <row r="29" spans="1:12" ht="31" customHeight="1">
      <c r="A29" s="100" t="s">
        <v>405</v>
      </c>
      <c r="B29" s="100" t="s">
        <v>420</v>
      </c>
      <c r="C29" s="103" t="str">
        <f>HYPERLINK("#'Assumptions'!C18","Assumptions!C18")</f>
        <v>Assumptions!C18</v>
      </c>
      <c r="D29" s="106">
        <f>Assumptions!C18</f>
        <v>76000</v>
      </c>
      <c r="E29" s="100" t="s">
        <v>417</v>
      </c>
      <c r="F29" s="115" t="s">
        <v>421</v>
      </c>
      <c r="G29" s="116"/>
      <c r="H29" s="120"/>
      <c r="I29" s="109"/>
      <c r="J29" s="110" t="str">
        <f t="shared" si="0"/>
        <v>NEEDS SOURCE</v>
      </c>
      <c r="K29" s="109" t="s">
        <v>373</v>
      </c>
      <c r="L29" s="115" t="s">
        <v>422</v>
      </c>
    </row>
    <row r="30" spans="1:12" ht="31" customHeight="1">
      <c r="A30" s="100" t="s">
        <v>405</v>
      </c>
      <c r="B30" s="100" t="s">
        <v>423</v>
      </c>
      <c r="C30" s="103" t="str">
        <f>HYPERLINK("#'Assumptions'!D18","Assumptions!D18")</f>
        <v>Assumptions!D18</v>
      </c>
      <c r="D30" s="106">
        <f>Assumptions!D18</f>
        <v>63000</v>
      </c>
      <c r="E30" s="100" t="s">
        <v>417</v>
      </c>
      <c r="F30" s="115" t="s">
        <v>424</v>
      </c>
      <c r="G30" s="116"/>
      <c r="H30" s="120"/>
      <c r="I30" s="109"/>
      <c r="J30" s="110" t="str">
        <f t="shared" si="0"/>
        <v>NEEDS SOURCE</v>
      </c>
      <c r="K30" s="109" t="s">
        <v>373</v>
      </c>
      <c r="L30" s="115" t="s">
        <v>425</v>
      </c>
    </row>
    <row r="31" spans="1:12" ht="31" customHeight="1">
      <c r="A31" s="100" t="s">
        <v>405</v>
      </c>
      <c r="B31" s="100" t="s">
        <v>426</v>
      </c>
      <c r="C31" s="103" t="str">
        <f>HYPERLINK("#'Assumptions'!B19","Assumptions!B19")</f>
        <v>Assumptions!B19</v>
      </c>
      <c r="D31" s="123">
        <f>Assumptions!B19</f>
        <v>0.16</v>
      </c>
      <c r="E31" s="100" t="s">
        <v>427</v>
      </c>
      <c r="F31" s="115" t="s">
        <v>428</v>
      </c>
      <c r="G31" s="116"/>
      <c r="H31" s="120"/>
      <c r="I31" s="109"/>
      <c r="J31" s="110" t="str">
        <f t="shared" si="0"/>
        <v>NEEDS SOURCE</v>
      </c>
      <c r="K31" s="109" t="s">
        <v>373</v>
      </c>
      <c r="L31" s="115" t="s">
        <v>429</v>
      </c>
    </row>
    <row r="32" spans="1:12" ht="31" customHeight="1">
      <c r="A32" s="100" t="s">
        <v>405</v>
      </c>
      <c r="B32" s="100" t="s">
        <v>430</v>
      </c>
      <c r="C32" s="103" t="str">
        <f>HYPERLINK("#'Assumptions'!C19","Assumptions!C19")</f>
        <v>Assumptions!C19</v>
      </c>
      <c r="D32" s="123">
        <f>Assumptions!C19</f>
        <v>0.18</v>
      </c>
      <c r="E32" s="100" t="s">
        <v>427</v>
      </c>
      <c r="F32" s="115" t="s">
        <v>431</v>
      </c>
      <c r="G32" s="116"/>
      <c r="H32" s="120"/>
      <c r="I32" s="109"/>
      <c r="J32" s="110" t="str">
        <f t="shared" si="0"/>
        <v>NEEDS SOURCE</v>
      </c>
      <c r="K32" s="109" t="s">
        <v>373</v>
      </c>
      <c r="L32" s="115" t="s">
        <v>432</v>
      </c>
    </row>
    <row r="33" spans="1:12" ht="31" customHeight="1">
      <c r="A33" s="100" t="s">
        <v>405</v>
      </c>
      <c r="B33" s="100" t="s">
        <v>433</v>
      </c>
      <c r="C33" s="103" t="str">
        <f>HYPERLINK("#'Assumptions'!D19","Assumptions!D19")</f>
        <v>Assumptions!D19</v>
      </c>
      <c r="D33" s="123">
        <f>Assumptions!D19</f>
        <v>0.14000000000000001</v>
      </c>
      <c r="E33" s="100" t="s">
        <v>427</v>
      </c>
      <c r="F33" s="115" t="s">
        <v>434</v>
      </c>
      <c r="G33" s="116"/>
      <c r="H33" s="120"/>
      <c r="I33" s="109"/>
      <c r="J33" s="110" t="str">
        <f t="shared" si="0"/>
        <v>NEEDS SOURCE</v>
      </c>
      <c r="K33" s="109" t="s">
        <v>373</v>
      </c>
      <c r="L33" s="115" t="s">
        <v>435</v>
      </c>
    </row>
    <row r="34" spans="1:12" ht="31" customHeight="1">
      <c r="A34" s="100" t="s">
        <v>405</v>
      </c>
      <c r="B34" s="100" t="s">
        <v>436</v>
      </c>
      <c r="C34" s="103" t="str">
        <f>HYPERLINK("#'Assumptions'!B20","Assumptions!B20")</f>
        <v>Assumptions!B20</v>
      </c>
      <c r="D34" s="124">
        <f>Assumptions!B20</f>
        <v>8</v>
      </c>
      <c r="E34" s="100" t="s">
        <v>437</v>
      </c>
      <c r="F34" s="115" t="s">
        <v>438</v>
      </c>
      <c r="G34" s="116"/>
      <c r="H34" s="120"/>
      <c r="I34" s="109"/>
      <c r="J34" s="110" t="str">
        <f t="shared" si="0"/>
        <v>NEEDS SOURCE</v>
      </c>
      <c r="K34" s="109" t="s">
        <v>373</v>
      </c>
      <c r="L34" s="115" t="s">
        <v>439</v>
      </c>
    </row>
    <row r="35" spans="1:12" ht="31" customHeight="1">
      <c r="A35" s="100" t="s">
        <v>405</v>
      </c>
      <c r="B35" s="100" t="s">
        <v>440</v>
      </c>
      <c r="C35" s="103" t="str">
        <f>HYPERLINK("#'Assumptions'!C20","Assumptions!C20")</f>
        <v>Assumptions!C20</v>
      </c>
      <c r="D35" s="124">
        <f>Assumptions!C20</f>
        <v>5</v>
      </c>
      <c r="E35" s="100" t="s">
        <v>437</v>
      </c>
      <c r="F35" s="115" t="s">
        <v>441</v>
      </c>
      <c r="G35" s="116"/>
      <c r="H35" s="120"/>
      <c r="I35" s="109"/>
      <c r="J35" s="110" t="str">
        <f t="shared" si="0"/>
        <v>NEEDS SOURCE</v>
      </c>
      <c r="K35" s="109" t="s">
        <v>373</v>
      </c>
      <c r="L35" s="115" t="s">
        <v>442</v>
      </c>
    </row>
    <row r="36" spans="1:12" ht="31" customHeight="1">
      <c r="A36" s="100" t="s">
        <v>405</v>
      </c>
      <c r="B36" s="100" t="s">
        <v>443</v>
      </c>
      <c r="C36" s="103" t="str">
        <f>HYPERLINK("#'Assumptions'!D20","Assumptions!D20")</f>
        <v>Assumptions!D20</v>
      </c>
      <c r="D36" s="124">
        <f>Assumptions!D20</f>
        <v>11</v>
      </c>
      <c r="E36" s="100" t="s">
        <v>437</v>
      </c>
      <c r="F36" s="115" t="s">
        <v>438</v>
      </c>
      <c r="G36" s="116"/>
      <c r="H36" s="120"/>
      <c r="I36" s="109"/>
      <c r="J36" s="110" t="str">
        <f t="shared" si="0"/>
        <v>NEEDS SOURCE</v>
      </c>
      <c r="K36" s="109" t="s">
        <v>373</v>
      </c>
      <c r="L36" s="115" t="s">
        <v>444</v>
      </c>
    </row>
    <row r="37" spans="1:12" ht="31" customHeight="1">
      <c r="A37" s="100" t="s">
        <v>445</v>
      </c>
      <c r="B37" s="100" t="s">
        <v>446</v>
      </c>
      <c r="C37" s="103" t="str">
        <f>HYPERLINK("#'Assumptions'!B23","Assumptions!B23")</f>
        <v>Assumptions!B23</v>
      </c>
      <c r="D37" s="123">
        <f>Assumptions!B23</f>
        <v>0.8</v>
      </c>
      <c r="E37" s="100" t="s">
        <v>447</v>
      </c>
      <c r="F37" s="115" t="s">
        <v>448</v>
      </c>
      <c r="G37" s="116"/>
      <c r="H37" s="120"/>
      <c r="I37" s="109"/>
      <c r="J37" s="110" t="str">
        <f t="shared" si="0"/>
        <v>NEEDS SOURCE</v>
      </c>
      <c r="K37" s="109" t="s">
        <v>373</v>
      </c>
      <c r="L37" s="115" t="s">
        <v>449</v>
      </c>
    </row>
    <row r="38" spans="1:12" ht="31" customHeight="1">
      <c r="A38" s="100" t="s">
        <v>445</v>
      </c>
      <c r="B38" s="100" t="s">
        <v>450</v>
      </c>
      <c r="C38" s="103" t="str">
        <f>HYPERLINK("#'Assumptions'!B24","Assumptions!B24")</f>
        <v>Assumptions!B24</v>
      </c>
      <c r="D38" s="106">
        <f>Assumptions!B24</f>
        <v>8830</v>
      </c>
      <c r="E38" s="100" t="s">
        <v>381</v>
      </c>
      <c r="F38" s="115" t="s">
        <v>451</v>
      </c>
      <c r="G38" s="116"/>
      <c r="H38" s="120"/>
      <c r="I38" s="109"/>
      <c r="J38" s="110" t="str">
        <f t="shared" si="0"/>
        <v>NEEDS SOURCE</v>
      </c>
      <c r="K38" s="109" t="s">
        <v>373</v>
      </c>
      <c r="L38" s="115" t="s">
        <v>452</v>
      </c>
    </row>
    <row r="39" spans="1:12" ht="31" customHeight="1">
      <c r="A39" s="100" t="s">
        <v>453</v>
      </c>
      <c r="B39" s="100" t="s">
        <v>47</v>
      </c>
      <c r="C39" s="103" t="str">
        <f>HYPERLINK("#'Assumptions'!B27","Assumptions!B27")</f>
        <v>Assumptions!B27</v>
      </c>
      <c r="D39" s="123">
        <f>Assumptions!B27</f>
        <v>0.1</v>
      </c>
      <c r="E39" s="100" t="s">
        <v>454</v>
      </c>
      <c r="F39" s="115" t="s">
        <v>455</v>
      </c>
      <c r="G39" s="116"/>
      <c r="H39" s="120"/>
      <c r="I39" s="109"/>
      <c r="J39" s="110" t="str">
        <f t="shared" ref="J39:J70" si="1">IF(G39="","NEEDS SOURCE",IF(H39="","DATE NEEDED","DOCUMENTED"))</f>
        <v>NEEDS SOURCE</v>
      </c>
      <c r="K39" s="109" t="s">
        <v>373</v>
      </c>
      <c r="L39" s="115" t="s">
        <v>456</v>
      </c>
    </row>
    <row r="40" spans="1:12" ht="31" customHeight="1">
      <c r="A40" s="100" t="s">
        <v>453</v>
      </c>
      <c r="B40" s="100" t="s">
        <v>457</v>
      </c>
      <c r="C40" s="103" t="str">
        <f>HYPERLINK("#'Assumptions'!B28","Assumptions!B28")</f>
        <v>Assumptions!B28</v>
      </c>
      <c r="D40" s="106">
        <f>Assumptions!B28</f>
        <v>9000000</v>
      </c>
      <c r="E40" s="100" t="s">
        <v>458</v>
      </c>
      <c r="F40" s="115" t="s">
        <v>459</v>
      </c>
      <c r="G40" s="116"/>
      <c r="H40" s="120"/>
      <c r="I40" s="109"/>
      <c r="J40" s="110" t="str">
        <f t="shared" si="1"/>
        <v>NEEDS SOURCE</v>
      </c>
      <c r="K40" s="109" t="s">
        <v>373</v>
      </c>
      <c r="L40" s="115" t="s">
        <v>460</v>
      </c>
    </row>
    <row r="41" spans="1:12" ht="31" customHeight="1">
      <c r="A41" s="100" t="s">
        <v>453</v>
      </c>
      <c r="B41" s="100" t="s">
        <v>48</v>
      </c>
      <c r="C41" s="103" t="str">
        <f>HYPERLINK("#'Assumptions'!B29","Assumptions!B29")</f>
        <v>Assumptions!B29</v>
      </c>
      <c r="D41" s="123">
        <f>Assumptions!B29</f>
        <v>7.0000000000000007E-2</v>
      </c>
      <c r="E41" s="100" t="s">
        <v>461</v>
      </c>
      <c r="F41" s="115" t="s">
        <v>462</v>
      </c>
      <c r="G41" s="116"/>
      <c r="H41" s="120"/>
      <c r="I41" s="109"/>
      <c r="J41" s="110" t="str">
        <f t="shared" si="1"/>
        <v>NEEDS SOURCE</v>
      </c>
      <c r="K41" s="109" t="s">
        <v>373</v>
      </c>
      <c r="L41" s="115" t="s">
        <v>463</v>
      </c>
    </row>
    <row r="42" spans="1:12" ht="31" customHeight="1">
      <c r="A42" s="100" t="s">
        <v>453</v>
      </c>
      <c r="B42" s="100" t="s">
        <v>464</v>
      </c>
      <c r="C42" s="103" t="str">
        <f>HYPERLINK("#'Assumptions'!B30","Assumptions!B30")</f>
        <v>Assumptions!B30</v>
      </c>
      <c r="D42" s="123">
        <f>Assumptions!B30</f>
        <v>0.03</v>
      </c>
      <c r="E42" s="100" t="s">
        <v>465</v>
      </c>
      <c r="F42" s="115" t="s">
        <v>466</v>
      </c>
      <c r="G42" s="116"/>
      <c r="H42" s="120"/>
      <c r="I42" s="109"/>
      <c r="J42" s="110" t="str">
        <f t="shared" si="1"/>
        <v>NEEDS SOURCE</v>
      </c>
      <c r="K42" s="109" t="s">
        <v>373</v>
      </c>
      <c r="L42" s="115" t="s">
        <v>467</v>
      </c>
    </row>
    <row r="43" spans="1:12" ht="31" customHeight="1">
      <c r="A43" s="100" t="s">
        <v>468</v>
      </c>
      <c r="B43" s="100" t="s">
        <v>103</v>
      </c>
      <c r="C43" s="103" t="str">
        <f>HYPERLINK("#'Assumptions'!B31","Assumptions!B31")</f>
        <v>Assumptions!B31</v>
      </c>
      <c r="D43" s="106">
        <f>Assumptions!B31</f>
        <v>120000000</v>
      </c>
      <c r="E43" s="100" t="s">
        <v>458</v>
      </c>
      <c r="F43" s="115" t="s">
        <v>469</v>
      </c>
      <c r="G43" s="116"/>
      <c r="H43" s="120"/>
      <c r="I43" s="109"/>
      <c r="J43" s="110" t="str">
        <f t="shared" si="1"/>
        <v>NEEDS SOURCE</v>
      </c>
      <c r="K43" s="109" t="s">
        <v>373</v>
      </c>
      <c r="L43" s="115" t="s">
        <v>470</v>
      </c>
    </row>
    <row r="44" spans="1:12" ht="31" customHeight="1">
      <c r="A44" s="100" t="s">
        <v>468</v>
      </c>
      <c r="B44" s="100" t="s">
        <v>471</v>
      </c>
      <c r="C44" s="103" t="str">
        <f>HYPERLINK("#'Assumptions'!B32","Assumptions!B32")</f>
        <v>Assumptions!B32</v>
      </c>
      <c r="D44" s="123">
        <f>Assumptions!B32</f>
        <v>0.06</v>
      </c>
      <c r="E44" s="100" t="s">
        <v>472</v>
      </c>
      <c r="F44" s="115" t="s">
        <v>473</v>
      </c>
      <c r="G44" s="116"/>
      <c r="H44" s="120"/>
      <c r="I44" s="109"/>
      <c r="J44" s="110" t="str">
        <f t="shared" si="1"/>
        <v>NEEDS SOURCE</v>
      </c>
      <c r="K44" s="109" t="s">
        <v>373</v>
      </c>
      <c r="L44" s="115" t="s">
        <v>474</v>
      </c>
    </row>
    <row r="45" spans="1:12" ht="31" customHeight="1">
      <c r="A45" s="100" t="s">
        <v>475</v>
      </c>
      <c r="B45" s="100" t="s">
        <v>476</v>
      </c>
      <c r="C45" s="103" t="str">
        <f>HYPERLINK("#'Assumptions'!B35","Assumptions!B35")</f>
        <v>Assumptions!B35</v>
      </c>
      <c r="D45" s="123">
        <f>Assumptions!B35</f>
        <v>0.6</v>
      </c>
      <c r="E45" s="100" t="s">
        <v>477</v>
      </c>
      <c r="F45" s="115" t="s">
        <v>478</v>
      </c>
      <c r="G45" s="116"/>
      <c r="H45" s="120"/>
      <c r="I45" s="109"/>
      <c r="J45" s="110" t="str">
        <f t="shared" si="1"/>
        <v>NEEDS SOURCE</v>
      </c>
      <c r="K45" s="109" t="s">
        <v>373</v>
      </c>
      <c r="L45" s="115" t="s">
        <v>479</v>
      </c>
    </row>
    <row r="46" spans="1:12" ht="31" customHeight="1">
      <c r="A46" s="100" t="s">
        <v>475</v>
      </c>
      <c r="B46" s="100" t="s">
        <v>52</v>
      </c>
      <c r="C46" s="103" t="str">
        <f>HYPERLINK("#'Assumptions'!B36","Assumptions!B36")</f>
        <v>Assumptions!B36</v>
      </c>
      <c r="D46" s="123">
        <f>Assumptions!B36</f>
        <v>1.4999999999999999E-2</v>
      </c>
      <c r="E46" s="100" t="s">
        <v>480</v>
      </c>
      <c r="F46" s="115" t="s">
        <v>478</v>
      </c>
      <c r="G46" s="116"/>
      <c r="H46" s="120"/>
      <c r="I46" s="109"/>
      <c r="J46" s="110" t="str">
        <f t="shared" si="1"/>
        <v>NEEDS SOURCE</v>
      </c>
      <c r="K46" s="109" t="s">
        <v>373</v>
      </c>
      <c r="L46" s="115" t="s">
        <v>481</v>
      </c>
    </row>
    <row r="47" spans="1:12" ht="31" customHeight="1">
      <c r="A47" s="100" t="s">
        <v>482</v>
      </c>
      <c r="B47" s="100" t="s">
        <v>483</v>
      </c>
      <c r="C47" s="103" t="str">
        <f>HYPERLINK("#'Assumptions'!B39","Assumptions!B39")</f>
        <v>Assumptions!B39</v>
      </c>
      <c r="D47" s="106">
        <f>Assumptions!B39</f>
        <v>3</v>
      </c>
      <c r="E47" s="100" t="s">
        <v>484</v>
      </c>
      <c r="F47" s="115" t="s">
        <v>485</v>
      </c>
      <c r="G47" s="116"/>
      <c r="H47" s="120"/>
      <c r="I47" s="109"/>
      <c r="J47" s="110" t="str">
        <f t="shared" si="1"/>
        <v>NEEDS SOURCE</v>
      </c>
      <c r="K47" s="109" t="s">
        <v>373</v>
      </c>
      <c r="L47" s="115" t="s">
        <v>486</v>
      </c>
    </row>
    <row r="48" spans="1:12" ht="31" customHeight="1">
      <c r="A48" s="100" t="s">
        <v>482</v>
      </c>
      <c r="B48" s="100" t="s">
        <v>487</v>
      </c>
      <c r="C48" s="103" t="str">
        <f>HYPERLINK("#'Assumptions'!B40","Assumptions!B40")</f>
        <v>Assumptions!B40</v>
      </c>
      <c r="D48" s="106">
        <f>Assumptions!B40</f>
        <v>18</v>
      </c>
      <c r="E48" s="100" t="s">
        <v>484</v>
      </c>
      <c r="F48" s="115" t="s">
        <v>488</v>
      </c>
      <c r="G48" s="116"/>
      <c r="H48" s="120"/>
      <c r="I48" s="109"/>
      <c r="J48" s="110" t="str">
        <f t="shared" si="1"/>
        <v>NEEDS SOURCE</v>
      </c>
      <c r="K48" s="109" t="s">
        <v>373</v>
      </c>
      <c r="L48" s="115" t="s">
        <v>489</v>
      </c>
    </row>
    <row r="49" spans="1:12" ht="31" customHeight="1">
      <c r="A49" s="100" t="s">
        <v>482</v>
      </c>
      <c r="B49" s="100" t="s">
        <v>490</v>
      </c>
      <c r="C49" s="103" t="str">
        <f>HYPERLINK("#'Assumptions'!B41","Assumptions!B41")</f>
        <v>Assumptions!B41</v>
      </c>
      <c r="D49" s="106">
        <f>Assumptions!B41</f>
        <v>6</v>
      </c>
      <c r="E49" s="100" t="s">
        <v>491</v>
      </c>
      <c r="F49" s="115" t="s">
        <v>492</v>
      </c>
      <c r="G49" s="116"/>
      <c r="H49" s="120"/>
      <c r="I49" s="109"/>
      <c r="J49" s="110" t="str">
        <f t="shared" si="1"/>
        <v>NEEDS SOURCE</v>
      </c>
      <c r="K49" s="109" t="s">
        <v>373</v>
      </c>
      <c r="L49" s="115" t="s">
        <v>493</v>
      </c>
    </row>
    <row r="50" spans="1:12" ht="31" customHeight="1">
      <c r="A50" s="100" t="s">
        <v>494</v>
      </c>
      <c r="B50" s="100" t="s">
        <v>495</v>
      </c>
      <c r="C50" s="103" t="str">
        <f>HYPERLINK("#'Assumptions'!B42","Assumptions!B42")</f>
        <v>Assumptions!B42</v>
      </c>
      <c r="D50" s="123">
        <f>Assumptions!B42</f>
        <v>0.2</v>
      </c>
      <c r="E50" s="100" t="s">
        <v>477</v>
      </c>
      <c r="F50" s="115" t="s">
        <v>496</v>
      </c>
      <c r="G50" s="116"/>
      <c r="H50" s="120"/>
      <c r="I50" s="109"/>
      <c r="J50" s="110" t="str">
        <f t="shared" si="1"/>
        <v>NEEDS SOURCE</v>
      </c>
      <c r="K50" s="109" t="s">
        <v>373</v>
      </c>
      <c r="L50" s="115" t="s">
        <v>497</v>
      </c>
    </row>
    <row r="51" spans="1:12" ht="31" customHeight="1">
      <c r="A51" s="100" t="s">
        <v>498</v>
      </c>
      <c r="B51" s="100" t="s">
        <v>499</v>
      </c>
      <c r="C51" s="103" t="str">
        <f>HYPERLINK("#'Assumptions'!B45","Assumptions!B45")</f>
        <v>Assumptions!B45</v>
      </c>
      <c r="D51" s="123">
        <f>Assumptions!B45</f>
        <v>0.9</v>
      </c>
      <c r="E51" s="100" t="s">
        <v>477</v>
      </c>
      <c r="F51" s="115" t="s">
        <v>500</v>
      </c>
      <c r="G51" s="116"/>
      <c r="H51" s="120"/>
      <c r="I51" s="109"/>
      <c r="J51" s="110" t="str">
        <f t="shared" si="1"/>
        <v>NEEDS SOURCE</v>
      </c>
      <c r="K51" s="109" t="s">
        <v>373</v>
      </c>
      <c r="L51" s="115" t="s">
        <v>501</v>
      </c>
    </row>
    <row r="52" spans="1:12" ht="31" customHeight="1">
      <c r="A52" s="100" t="s">
        <v>498</v>
      </c>
      <c r="B52" s="100" t="s">
        <v>502</v>
      </c>
      <c r="C52" s="103" t="str">
        <f>HYPERLINK("#'Assumptions'!B46","Assumptions!B46")</f>
        <v>Assumptions!B46</v>
      </c>
      <c r="D52" s="123">
        <f>Assumptions!B46</f>
        <v>9.9999999999999978E-2</v>
      </c>
      <c r="E52" s="100" t="s">
        <v>477</v>
      </c>
      <c r="F52" s="115" t="s">
        <v>500</v>
      </c>
      <c r="G52" s="116"/>
      <c r="H52" s="120"/>
      <c r="I52" s="109"/>
      <c r="J52" s="110" t="str">
        <f t="shared" si="1"/>
        <v>NEEDS SOURCE</v>
      </c>
      <c r="K52" s="109" t="s">
        <v>373</v>
      </c>
      <c r="L52" s="115" t="s">
        <v>503</v>
      </c>
    </row>
    <row r="53" spans="1:12" ht="31" customHeight="1">
      <c r="A53" s="100" t="s">
        <v>498</v>
      </c>
      <c r="B53" s="100" t="s">
        <v>504</v>
      </c>
      <c r="C53" s="103" t="str">
        <f>HYPERLINK("#'Assumptions'!B47","Assumptions!B47")</f>
        <v>Assumptions!B47</v>
      </c>
      <c r="D53" s="123">
        <f>Assumptions!B47</f>
        <v>0.12</v>
      </c>
      <c r="E53" s="100" t="s">
        <v>427</v>
      </c>
      <c r="F53" s="115" t="s">
        <v>500</v>
      </c>
      <c r="G53" s="116"/>
      <c r="H53" s="120"/>
      <c r="I53" s="109"/>
      <c r="J53" s="110" t="str">
        <f t="shared" si="1"/>
        <v>NEEDS SOURCE</v>
      </c>
      <c r="K53" s="109" t="s">
        <v>373</v>
      </c>
      <c r="L53" s="115" t="s">
        <v>505</v>
      </c>
    </row>
    <row r="54" spans="1:12" ht="31" customHeight="1">
      <c r="A54" s="100" t="s">
        <v>498</v>
      </c>
      <c r="B54" s="100" t="s">
        <v>241</v>
      </c>
      <c r="C54" s="103" t="str">
        <f>HYPERLINK("#'Assumptions'!B48","Assumptions!B48")</f>
        <v>Assumptions!B48</v>
      </c>
      <c r="D54" s="123">
        <f>Assumptions!B48</f>
        <v>0.2</v>
      </c>
      <c r="E54" s="100" t="s">
        <v>506</v>
      </c>
      <c r="F54" s="115" t="s">
        <v>500</v>
      </c>
      <c r="G54" s="116"/>
      <c r="H54" s="120"/>
      <c r="I54" s="109"/>
      <c r="J54" s="110" t="str">
        <f t="shared" si="1"/>
        <v>NEEDS SOURCE</v>
      </c>
      <c r="K54" s="109" t="s">
        <v>373</v>
      </c>
      <c r="L54" s="115" t="s">
        <v>507</v>
      </c>
    </row>
    <row r="55" spans="1:12" ht="31" customHeight="1">
      <c r="A55" s="100" t="s">
        <v>508</v>
      </c>
      <c r="B55" s="100" t="s">
        <v>509</v>
      </c>
      <c r="C55" s="103" t="str">
        <f>HYPERLINK("#'Assumptions'!B51","Assumptions!B51")</f>
        <v>Assumptions!B51</v>
      </c>
      <c r="D55" s="123">
        <f>Assumptions!B51</f>
        <v>0.18</v>
      </c>
      <c r="E55" s="100" t="s">
        <v>427</v>
      </c>
      <c r="F55" s="115" t="s">
        <v>510</v>
      </c>
      <c r="G55" s="116"/>
      <c r="H55" s="120"/>
      <c r="I55" s="109"/>
      <c r="J55" s="110" t="str">
        <f t="shared" si="1"/>
        <v>NEEDS SOURCE</v>
      </c>
      <c r="K55" s="109" t="s">
        <v>373</v>
      </c>
      <c r="L55" s="115" t="s">
        <v>511</v>
      </c>
    </row>
    <row r="56" spans="1:12" ht="31" customHeight="1">
      <c r="A56" s="100" t="s">
        <v>512</v>
      </c>
      <c r="B56" s="100" t="s">
        <v>513</v>
      </c>
      <c r="C56" s="103" t="str">
        <f>HYPERLINK("#'Assumptions'!B73","Assumptions!B73")</f>
        <v>Assumptions!B73</v>
      </c>
      <c r="D56" s="123">
        <f>Assumptions!B73</f>
        <v>0.06</v>
      </c>
      <c r="E56" s="100" t="s">
        <v>427</v>
      </c>
      <c r="F56" s="115" t="s">
        <v>514</v>
      </c>
      <c r="G56" s="116"/>
      <c r="H56" s="120"/>
      <c r="I56" s="109"/>
      <c r="J56" s="110" t="str">
        <f t="shared" si="1"/>
        <v>NEEDS SOURCE</v>
      </c>
      <c r="K56" s="109" t="s">
        <v>373</v>
      </c>
      <c r="L56" s="115" t="s">
        <v>515</v>
      </c>
    </row>
    <row r="57" spans="1:12" ht="31" customHeight="1">
      <c r="A57" s="100" t="s">
        <v>512</v>
      </c>
      <c r="B57" s="100" t="s">
        <v>516</v>
      </c>
      <c r="C57" s="103" t="str">
        <f>HYPERLINK("#'Assumptions'!B74","Assumptions!B74")</f>
        <v>Assumptions!B74</v>
      </c>
      <c r="D57" s="123">
        <f>Assumptions!B74</f>
        <v>0.05</v>
      </c>
      <c r="E57" s="100" t="s">
        <v>427</v>
      </c>
      <c r="F57" s="115" t="s">
        <v>517</v>
      </c>
      <c r="G57" s="116"/>
      <c r="H57" s="120"/>
      <c r="I57" s="109"/>
      <c r="J57" s="110" t="str">
        <f t="shared" si="1"/>
        <v>NEEDS SOURCE</v>
      </c>
      <c r="K57" s="109" t="s">
        <v>373</v>
      </c>
      <c r="L57" s="115" t="s">
        <v>518</v>
      </c>
    </row>
    <row r="58" spans="1:12" ht="31" customHeight="1">
      <c r="A58" s="100" t="s">
        <v>519</v>
      </c>
      <c r="B58" s="100" t="s">
        <v>139</v>
      </c>
      <c r="C58" s="103" t="str">
        <f>HYPERLINK("#'Assumptions'!B75","Assumptions!B75")</f>
        <v>Assumptions!B75</v>
      </c>
      <c r="D58" s="123">
        <f>Assumptions!B75</f>
        <v>0.3</v>
      </c>
      <c r="E58" s="100" t="s">
        <v>477</v>
      </c>
      <c r="F58" s="115" t="s">
        <v>520</v>
      </c>
      <c r="G58" s="116"/>
      <c r="H58" s="120"/>
      <c r="I58" s="109"/>
      <c r="J58" s="110" t="str">
        <f t="shared" si="1"/>
        <v>NEEDS SOURCE</v>
      </c>
      <c r="K58" s="109" t="s">
        <v>373</v>
      </c>
      <c r="L58" s="115" t="s">
        <v>521</v>
      </c>
    </row>
    <row r="59" spans="1:12" ht="31" customHeight="1">
      <c r="A59" s="100" t="s">
        <v>475</v>
      </c>
      <c r="B59" s="100" t="s">
        <v>522</v>
      </c>
      <c r="C59" s="103" t="str">
        <f>HYPERLINK("#'Assumptions'!B78","Assumptions!B78")</f>
        <v>Assumptions!B78</v>
      </c>
      <c r="D59" s="123">
        <f>Assumptions!B78</f>
        <v>0.3</v>
      </c>
      <c r="E59" s="100" t="s">
        <v>523</v>
      </c>
      <c r="F59" s="115" t="s">
        <v>478</v>
      </c>
      <c r="G59" s="116"/>
      <c r="H59" s="120"/>
      <c r="I59" s="109"/>
      <c r="J59" s="110" t="str">
        <f t="shared" si="1"/>
        <v>NEEDS SOURCE</v>
      </c>
      <c r="K59" s="109" t="s">
        <v>373</v>
      </c>
      <c r="L59" s="115" t="s">
        <v>524</v>
      </c>
    </row>
    <row r="60" spans="1:12" ht="31" customHeight="1">
      <c r="A60" s="100" t="s">
        <v>475</v>
      </c>
      <c r="B60" s="100" t="s">
        <v>142</v>
      </c>
      <c r="C60" s="103" t="str">
        <f>HYPERLINK("#'Assumptions'!B79","Assumptions!B79")</f>
        <v>Assumptions!B79</v>
      </c>
      <c r="D60" s="123">
        <f>Assumptions!B79</f>
        <v>0.65</v>
      </c>
      <c r="E60" s="100" t="s">
        <v>477</v>
      </c>
      <c r="F60" s="115" t="s">
        <v>478</v>
      </c>
      <c r="G60" s="116"/>
      <c r="H60" s="120"/>
      <c r="I60" s="109"/>
      <c r="J60" s="110" t="str">
        <f t="shared" si="1"/>
        <v>NEEDS SOURCE</v>
      </c>
      <c r="K60" s="109" t="s">
        <v>373</v>
      </c>
      <c r="L60" s="115" t="s">
        <v>525</v>
      </c>
    </row>
    <row r="61" spans="1:12" ht="31" customHeight="1">
      <c r="A61" s="100" t="s">
        <v>526</v>
      </c>
      <c r="B61" s="100" t="s">
        <v>527</v>
      </c>
      <c r="C61" s="103" t="str">
        <f>HYPERLINK("#'Assumptions'!B82","Assumptions!B82")</f>
        <v>Assumptions!B82</v>
      </c>
      <c r="D61" s="106">
        <f>Assumptions!B82</f>
        <v>950</v>
      </c>
      <c r="E61" s="100" t="s">
        <v>528</v>
      </c>
      <c r="F61" s="115" t="s">
        <v>529</v>
      </c>
      <c r="G61" s="116"/>
      <c r="H61" s="120"/>
      <c r="I61" s="109"/>
      <c r="J61" s="110" t="str">
        <f t="shared" si="1"/>
        <v>NEEDS SOURCE</v>
      </c>
      <c r="K61" s="109" t="s">
        <v>373</v>
      </c>
      <c r="L61" s="115" t="s">
        <v>530</v>
      </c>
    </row>
    <row r="62" spans="1:12" ht="31" customHeight="1">
      <c r="A62" s="100" t="s">
        <v>526</v>
      </c>
      <c r="B62" s="100" t="s">
        <v>531</v>
      </c>
      <c r="C62" s="103" t="str">
        <f>HYPERLINK("#'Assumptions'!B83","Assumptions!B83")</f>
        <v>Assumptions!B83</v>
      </c>
      <c r="D62" s="123">
        <f>Assumptions!B83</f>
        <v>0.08</v>
      </c>
      <c r="E62" s="100" t="s">
        <v>532</v>
      </c>
      <c r="F62" s="115" t="s">
        <v>533</v>
      </c>
      <c r="G62" s="116"/>
      <c r="H62" s="120"/>
      <c r="I62" s="109"/>
      <c r="J62" s="110" t="str">
        <f t="shared" si="1"/>
        <v>NEEDS SOURCE</v>
      </c>
      <c r="K62" s="109" t="s">
        <v>373</v>
      </c>
      <c r="L62" s="115" t="s">
        <v>534</v>
      </c>
    </row>
    <row r="63" spans="1:12" ht="31" customHeight="1">
      <c r="A63" s="100" t="s">
        <v>526</v>
      </c>
      <c r="B63" s="100" t="s">
        <v>146</v>
      </c>
      <c r="C63" s="103" t="str">
        <f>HYPERLINK("#'Assumptions'!B84","Assumptions!B84")</f>
        <v>Assumptions!B84</v>
      </c>
      <c r="D63" s="123">
        <f>Assumptions!B84</f>
        <v>0.3</v>
      </c>
      <c r="E63" s="100" t="s">
        <v>535</v>
      </c>
      <c r="F63" s="115" t="s">
        <v>536</v>
      </c>
      <c r="G63" s="116"/>
      <c r="H63" s="120"/>
      <c r="I63" s="109"/>
      <c r="J63" s="110" t="str">
        <f t="shared" si="1"/>
        <v>NEEDS SOURCE</v>
      </c>
      <c r="K63" s="109" t="s">
        <v>373</v>
      </c>
      <c r="L63" s="115" t="s">
        <v>537</v>
      </c>
    </row>
    <row r="64" spans="1:12" ht="31" customHeight="1">
      <c r="A64" s="100" t="s">
        <v>526</v>
      </c>
      <c r="B64" s="100" t="s">
        <v>147</v>
      </c>
      <c r="C64" s="103" t="str">
        <f>HYPERLINK("#'Assumptions'!B85","Assumptions!B85")</f>
        <v>Assumptions!B85</v>
      </c>
      <c r="D64" s="123">
        <f>Assumptions!B85</f>
        <v>8.5000000000000006E-2</v>
      </c>
      <c r="E64" s="100" t="s">
        <v>477</v>
      </c>
      <c r="F64" s="115" t="s">
        <v>538</v>
      </c>
      <c r="G64" s="116"/>
      <c r="H64" s="120"/>
      <c r="I64" s="109"/>
      <c r="J64" s="110" t="str">
        <f t="shared" si="1"/>
        <v>NEEDS SOURCE</v>
      </c>
      <c r="K64" s="109" t="s">
        <v>373</v>
      </c>
      <c r="L64" s="115" t="s">
        <v>539</v>
      </c>
    </row>
    <row r="65" spans="1:12" ht="31" customHeight="1">
      <c r="A65" s="100" t="s">
        <v>540</v>
      </c>
      <c r="B65" s="100" t="s">
        <v>541</v>
      </c>
      <c r="C65" s="103" t="str">
        <f>HYPERLINK("#'Sales'!E5","Sales!E5")</f>
        <v>Sales!E5</v>
      </c>
      <c r="D65" s="106">
        <f>Sales!E5</f>
        <v>9</v>
      </c>
      <c r="E65" s="100" t="s">
        <v>491</v>
      </c>
      <c r="F65" s="115" t="s">
        <v>542</v>
      </c>
      <c r="G65" s="116"/>
      <c r="H65" s="120"/>
      <c r="I65" s="109"/>
      <c r="J65" s="110" t="str">
        <f t="shared" si="1"/>
        <v>NEEDS SOURCE</v>
      </c>
      <c r="K65" s="109" t="s">
        <v>373</v>
      </c>
      <c r="L65" s="115" t="s">
        <v>543</v>
      </c>
    </row>
    <row r="66" spans="1:12" ht="31" customHeight="1">
      <c r="A66" s="100" t="s">
        <v>540</v>
      </c>
      <c r="B66" s="100" t="s">
        <v>544</v>
      </c>
      <c r="C66" s="103" t="str">
        <f>HYPERLINK("#'Sales'!F5","Sales!F5")</f>
        <v>Sales!F5</v>
      </c>
      <c r="D66" s="124">
        <f>Sales!F5</f>
        <v>3</v>
      </c>
      <c r="E66" s="100" t="s">
        <v>437</v>
      </c>
      <c r="F66" s="115" t="s">
        <v>438</v>
      </c>
      <c r="G66" s="116"/>
      <c r="H66" s="120"/>
      <c r="I66" s="109"/>
      <c r="J66" s="110" t="str">
        <f t="shared" si="1"/>
        <v>NEEDS SOURCE</v>
      </c>
      <c r="K66" s="109" t="s">
        <v>373</v>
      </c>
      <c r="L66" s="115" t="s">
        <v>545</v>
      </c>
    </row>
    <row r="67" spans="1:12" ht="31" customHeight="1">
      <c r="A67" s="100" t="s">
        <v>540</v>
      </c>
      <c r="B67" s="100" t="s">
        <v>546</v>
      </c>
      <c r="C67" s="103" t="str">
        <f>HYPERLINK("#'Sales'!H5","Sales!H5")</f>
        <v>Sales!H5</v>
      </c>
      <c r="D67" s="123">
        <f>Sales!H5</f>
        <v>0.05</v>
      </c>
      <c r="E67" s="100" t="s">
        <v>477</v>
      </c>
      <c r="F67" s="115" t="s">
        <v>542</v>
      </c>
      <c r="G67" s="116"/>
      <c r="H67" s="120"/>
      <c r="I67" s="109"/>
      <c r="J67" s="110" t="str">
        <f t="shared" si="1"/>
        <v>NEEDS SOURCE</v>
      </c>
      <c r="K67" s="109" t="s">
        <v>373</v>
      </c>
      <c r="L67" s="115" t="s">
        <v>547</v>
      </c>
    </row>
    <row r="68" spans="1:12" ht="31" customHeight="1">
      <c r="A68" s="100" t="s">
        <v>540</v>
      </c>
      <c r="B68" s="100" t="s">
        <v>548</v>
      </c>
      <c r="C68" s="103" t="str">
        <f>HYPERLINK("#'Sales'!E6","Sales!E6")</f>
        <v>Sales!E6</v>
      </c>
      <c r="D68" s="106">
        <f>Sales!E6</f>
        <v>6</v>
      </c>
      <c r="E68" s="100" t="s">
        <v>491</v>
      </c>
      <c r="F68" s="115" t="s">
        <v>542</v>
      </c>
      <c r="G68" s="116"/>
      <c r="H68" s="120"/>
      <c r="I68" s="109"/>
      <c r="J68" s="110" t="str">
        <f t="shared" si="1"/>
        <v>NEEDS SOURCE</v>
      </c>
      <c r="K68" s="109" t="s">
        <v>373</v>
      </c>
      <c r="L68" s="115" t="s">
        <v>543</v>
      </c>
    </row>
    <row r="69" spans="1:12" ht="31" customHeight="1">
      <c r="A69" s="100" t="s">
        <v>540</v>
      </c>
      <c r="B69" s="100" t="s">
        <v>549</v>
      </c>
      <c r="C69" s="103" t="str">
        <f>HYPERLINK("#'Sales'!F6","Sales!F6")</f>
        <v>Sales!F6</v>
      </c>
      <c r="D69" s="124">
        <f>Sales!F6</f>
        <v>4</v>
      </c>
      <c r="E69" s="100" t="s">
        <v>437</v>
      </c>
      <c r="F69" s="115" t="s">
        <v>438</v>
      </c>
      <c r="G69" s="116"/>
      <c r="H69" s="120"/>
      <c r="I69" s="109"/>
      <c r="J69" s="110" t="str">
        <f t="shared" si="1"/>
        <v>NEEDS SOURCE</v>
      </c>
      <c r="K69" s="109" t="s">
        <v>373</v>
      </c>
      <c r="L69" s="115" t="s">
        <v>545</v>
      </c>
    </row>
    <row r="70" spans="1:12" ht="31" customHeight="1">
      <c r="A70" s="100" t="s">
        <v>540</v>
      </c>
      <c r="B70" s="100" t="s">
        <v>550</v>
      </c>
      <c r="C70" s="103" t="str">
        <f>HYPERLINK("#'Sales'!H6","Sales!H6")</f>
        <v>Sales!H6</v>
      </c>
      <c r="D70" s="123">
        <f>Sales!H6</f>
        <v>0.05</v>
      </c>
      <c r="E70" s="100" t="s">
        <v>477</v>
      </c>
      <c r="F70" s="115" t="s">
        <v>542</v>
      </c>
      <c r="G70" s="116"/>
      <c r="H70" s="120"/>
      <c r="I70" s="109"/>
      <c r="J70" s="110" t="str">
        <f t="shared" si="1"/>
        <v>NEEDS SOURCE</v>
      </c>
      <c r="K70" s="109" t="s">
        <v>373</v>
      </c>
      <c r="L70" s="115" t="s">
        <v>547</v>
      </c>
    </row>
    <row r="71" spans="1:12" ht="31" customHeight="1">
      <c r="A71" s="100" t="s">
        <v>540</v>
      </c>
      <c r="B71" s="100" t="s">
        <v>551</v>
      </c>
      <c r="C71" s="103" t="str">
        <f>HYPERLINK("#'Sales'!E7","Sales!E7")</f>
        <v>Sales!E7</v>
      </c>
      <c r="D71" s="106">
        <f>Sales!E7</f>
        <v>7</v>
      </c>
      <c r="E71" s="100" t="s">
        <v>491</v>
      </c>
      <c r="F71" s="115" t="s">
        <v>542</v>
      </c>
      <c r="G71" s="116"/>
      <c r="H71" s="120"/>
      <c r="I71" s="109"/>
      <c r="J71" s="110" t="str">
        <f t="shared" ref="J71:J82" si="2">IF(G71="","NEEDS SOURCE",IF(H71="","DATE NEEDED","DOCUMENTED"))</f>
        <v>NEEDS SOURCE</v>
      </c>
      <c r="K71" s="109" t="s">
        <v>373</v>
      </c>
      <c r="L71" s="115" t="s">
        <v>543</v>
      </c>
    </row>
    <row r="72" spans="1:12" ht="31" customHeight="1">
      <c r="A72" s="100" t="s">
        <v>540</v>
      </c>
      <c r="B72" s="100" t="s">
        <v>552</v>
      </c>
      <c r="C72" s="103" t="str">
        <f>HYPERLINK("#'Sales'!F7","Sales!F7")</f>
        <v>Sales!F7</v>
      </c>
      <c r="D72" s="124">
        <f>Sales!F7</f>
        <v>4</v>
      </c>
      <c r="E72" s="100" t="s">
        <v>437</v>
      </c>
      <c r="F72" s="115" t="s">
        <v>438</v>
      </c>
      <c r="G72" s="116"/>
      <c r="H72" s="120"/>
      <c r="I72" s="109"/>
      <c r="J72" s="110" t="str">
        <f t="shared" si="2"/>
        <v>NEEDS SOURCE</v>
      </c>
      <c r="K72" s="109" t="s">
        <v>373</v>
      </c>
      <c r="L72" s="115" t="s">
        <v>545</v>
      </c>
    </row>
    <row r="73" spans="1:12" ht="31" customHeight="1">
      <c r="A73" s="100" t="s">
        <v>540</v>
      </c>
      <c r="B73" s="100" t="s">
        <v>553</v>
      </c>
      <c r="C73" s="103" t="str">
        <f>HYPERLINK("#'Sales'!H7","Sales!H7")</f>
        <v>Sales!H7</v>
      </c>
      <c r="D73" s="123">
        <f>Sales!H7</f>
        <v>0.03</v>
      </c>
      <c r="E73" s="100" t="s">
        <v>477</v>
      </c>
      <c r="F73" s="115" t="s">
        <v>542</v>
      </c>
      <c r="G73" s="116"/>
      <c r="H73" s="120"/>
      <c r="I73" s="109"/>
      <c r="J73" s="110" t="str">
        <f t="shared" si="2"/>
        <v>NEEDS SOURCE</v>
      </c>
      <c r="K73" s="109" t="s">
        <v>373</v>
      </c>
      <c r="L73" s="115" t="s">
        <v>547</v>
      </c>
    </row>
    <row r="74" spans="1:12" ht="31" customHeight="1">
      <c r="A74" s="100" t="s">
        <v>540</v>
      </c>
      <c r="B74" s="100" t="s">
        <v>554</v>
      </c>
      <c r="C74" s="103" t="str">
        <f>HYPERLINK("#'Sales'!E8","Sales!E8")</f>
        <v>Sales!E8</v>
      </c>
      <c r="D74" s="106">
        <f>Sales!E8</f>
        <v>8</v>
      </c>
      <c r="E74" s="100" t="s">
        <v>491</v>
      </c>
      <c r="F74" s="115" t="s">
        <v>542</v>
      </c>
      <c r="G74" s="116"/>
      <c r="H74" s="120"/>
      <c r="I74" s="109"/>
      <c r="J74" s="110" t="str">
        <f t="shared" si="2"/>
        <v>NEEDS SOURCE</v>
      </c>
      <c r="K74" s="109" t="s">
        <v>373</v>
      </c>
      <c r="L74" s="115" t="s">
        <v>543</v>
      </c>
    </row>
    <row r="75" spans="1:12" ht="31" customHeight="1">
      <c r="A75" s="100" t="s">
        <v>540</v>
      </c>
      <c r="B75" s="100" t="s">
        <v>555</v>
      </c>
      <c r="C75" s="103" t="str">
        <f>HYPERLINK("#'Sales'!F8","Sales!F8")</f>
        <v>Sales!F8</v>
      </c>
      <c r="D75" s="124">
        <f>Sales!F8</f>
        <v>2</v>
      </c>
      <c r="E75" s="100" t="s">
        <v>437</v>
      </c>
      <c r="F75" s="115" t="s">
        <v>438</v>
      </c>
      <c r="G75" s="116"/>
      <c r="H75" s="120"/>
      <c r="I75" s="109"/>
      <c r="J75" s="110" t="str">
        <f t="shared" si="2"/>
        <v>NEEDS SOURCE</v>
      </c>
      <c r="K75" s="109" t="s">
        <v>373</v>
      </c>
      <c r="L75" s="115" t="s">
        <v>545</v>
      </c>
    </row>
    <row r="76" spans="1:12" ht="31" customHeight="1">
      <c r="A76" s="100" t="s">
        <v>540</v>
      </c>
      <c r="B76" s="100" t="s">
        <v>556</v>
      </c>
      <c r="C76" s="103" t="str">
        <f>HYPERLINK("#'Sales'!E9","Sales!E9")</f>
        <v>Sales!E9</v>
      </c>
      <c r="D76" s="106">
        <f>Sales!E9</f>
        <v>10</v>
      </c>
      <c r="E76" s="100" t="s">
        <v>491</v>
      </c>
      <c r="F76" s="115" t="s">
        <v>542</v>
      </c>
      <c r="G76" s="116"/>
      <c r="H76" s="120"/>
      <c r="I76" s="109"/>
      <c r="J76" s="110" t="str">
        <f t="shared" si="2"/>
        <v>NEEDS SOURCE</v>
      </c>
      <c r="K76" s="109" t="s">
        <v>373</v>
      </c>
      <c r="L76" s="115" t="s">
        <v>543</v>
      </c>
    </row>
    <row r="77" spans="1:12" ht="31" customHeight="1">
      <c r="A77" s="100" t="s">
        <v>540</v>
      </c>
      <c r="B77" s="100" t="s">
        <v>557</v>
      </c>
      <c r="C77" s="103" t="str">
        <f>HYPERLINK("#'Sales'!E10","Sales!E10")</f>
        <v>Sales!E10</v>
      </c>
      <c r="D77" s="106">
        <f>Sales!E10</f>
        <v>12</v>
      </c>
      <c r="E77" s="100" t="s">
        <v>491</v>
      </c>
      <c r="F77" s="115" t="s">
        <v>542</v>
      </c>
      <c r="G77" s="116"/>
      <c r="H77" s="120"/>
      <c r="I77" s="109"/>
      <c r="J77" s="110" t="str">
        <f t="shared" si="2"/>
        <v>NEEDS SOURCE</v>
      </c>
      <c r="K77" s="109" t="s">
        <v>373</v>
      </c>
      <c r="L77" s="115" t="s">
        <v>558</v>
      </c>
    </row>
    <row r="78" spans="1:12" ht="31" customHeight="1">
      <c r="A78" s="100" t="s">
        <v>494</v>
      </c>
      <c r="B78" s="100" t="s">
        <v>559</v>
      </c>
      <c r="C78" s="103" t="str">
        <f>HYPERLINK("#'Sales'!B13","Sales!B13")</f>
        <v>Sales!B13</v>
      </c>
      <c r="D78" s="123">
        <f>Sales!B13</f>
        <v>0.15</v>
      </c>
      <c r="E78" s="100" t="s">
        <v>560</v>
      </c>
      <c r="F78" s="115" t="s">
        <v>561</v>
      </c>
      <c r="G78" s="116"/>
      <c r="H78" s="120"/>
      <c r="I78" s="109"/>
      <c r="J78" s="110" t="str">
        <f t="shared" si="2"/>
        <v>NEEDS SOURCE</v>
      </c>
      <c r="K78" s="109" t="s">
        <v>373</v>
      </c>
      <c r="L78" s="115" t="s">
        <v>562</v>
      </c>
    </row>
    <row r="79" spans="1:12" ht="31" customHeight="1">
      <c r="A79" s="100" t="s">
        <v>494</v>
      </c>
      <c r="B79" s="100" t="s">
        <v>563</v>
      </c>
      <c r="C79" s="103" t="str">
        <f>HYPERLINK("#'Sales'!B14","Sales!B14")</f>
        <v>Sales!B14</v>
      </c>
      <c r="D79" s="123">
        <f>Sales!B14</f>
        <v>0.35</v>
      </c>
      <c r="E79" s="100" t="s">
        <v>560</v>
      </c>
      <c r="F79" s="115" t="s">
        <v>561</v>
      </c>
      <c r="G79" s="116"/>
      <c r="H79" s="120"/>
      <c r="I79" s="109"/>
      <c r="J79" s="110" t="str">
        <f t="shared" si="2"/>
        <v>NEEDS SOURCE</v>
      </c>
      <c r="K79" s="109" t="s">
        <v>373</v>
      </c>
      <c r="L79" s="115" t="s">
        <v>564</v>
      </c>
    </row>
    <row r="80" spans="1:12" ht="31" customHeight="1">
      <c r="A80" s="100" t="s">
        <v>494</v>
      </c>
      <c r="B80" s="100" t="s">
        <v>565</v>
      </c>
      <c r="C80" s="103" t="str">
        <f>HYPERLINK("#'Sales'!B15","Sales!B15")</f>
        <v>Sales!B15</v>
      </c>
      <c r="D80" s="106">
        <f>Sales!B15</f>
        <v>10</v>
      </c>
      <c r="E80" s="100" t="s">
        <v>491</v>
      </c>
      <c r="F80" s="115" t="s">
        <v>566</v>
      </c>
      <c r="G80" s="116"/>
      <c r="H80" s="120"/>
      <c r="I80" s="109"/>
      <c r="J80" s="110" t="str">
        <f t="shared" si="2"/>
        <v>NEEDS SOURCE</v>
      </c>
      <c r="K80" s="109" t="s">
        <v>373</v>
      </c>
      <c r="L80" s="115" t="s">
        <v>567</v>
      </c>
    </row>
    <row r="81" spans="1:12" ht="31" customHeight="1">
      <c r="A81" s="100" t="s">
        <v>494</v>
      </c>
      <c r="B81" s="100" t="s">
        <v>568</v>
      </c>
      <c r="C81" s="103" t="str">
        <f>HYPERLINK("#'Sales'!B16","Sales!B16")</f>
        <v>Sales!B16</v>
      </c>
      <c r="D81" s="123">
        <f>Sales!B16</f>
        <v>0.5</v>
      </c>
      <c r="E81" s="100" t="s">
        <v>560</v>
      </c>
      <c r="F81" s="115" t="s">
        <v>561</v>
      </c>
      <c r="G81" s="116"/>
      <c r="H81" s="120"/>
      <c r="I81" s="109"/>
      <c r="J81" s="110" t="str">
        <f t="shared" si="2"/>
        <v>NEEDS SOURCE</v>
      </c>
      <c r="K81" s="109" t="s">
        <v>373</v>
      </c>
      <c r="L81" s="115" t="s">
        <v>569</v>
      </c>
    </row>
    <row r="82" spans="1:12" ht="31" customHeight="1">
      <c r="A82" s="101" t="s">
        <v>494</v>
      </c>
      <c r="B82" s="101" t="s">
        <v>570</v>
      </c>
      <c r="C82" s="104" t="str">
        <f>HYPERLINK("#'Sales'!B18","Sales!B18")</f>
        <v>Sales!B18</v>
      </c>
      <c r="D82" s="125">
        <f>Sales!B18</f>
        <v>2.5000000000000001E-2</v>
      </c>
      <c r="E82" s="101" t="s">
        <v>560</v>
      </c>
      <c r="F82" s="117" t="s">
        <v>571</v>
      </c>
      <c r="G82" s="118"/>
      <c r="H82" s="121"/>
      <c r="I82" s="111"/>
      <c r="J82" s="112" t="str">
        <f t="shared" si="2"/>
        <v>NEEDS SOURCE</v>
      </c>
      <c r="K82" s="111" t="s">
        <v>373</v>
      </c>
      <c r="L82" s="117" t="s">
        <v>572</v>
      </c>
    </row>
  </sheetData>
  <autoFilter ref="A6:L82" xr:uid="{868F9256-10E1-4C08-9514-926777789F8B}"/>
  <mergeCells count="8">
    <mergeCell ref="A4:L4"/>
    <mergeCell ref="A5:L5"/>
    <mergeCell ref="A1:L1"/>
    <mergeCell ref="A2:L2"/>
    <mergeCell ref="A3:B3"/>
    <mergeCell ref="C3:D3"/>
    <mergeCell ref="E3:F3"/>
    <mergeCell ref="G3:L3"/>
  </mergeCells>
  <conditionalFormatting sqref="J7:J82">
    <cfRule type="expression" dxfId="13" priority="1" stopIfTrue="1">
      <formula>J7="DOCUMENTED"</formula>
    </cfRule>
    <cfRule type="expression" dxfId="12" priority="2" stopIfTrue="1">
      <formula>J7="NEEDS SOURCE"</formula>
    </cfRule>
    <cfRule type="expression" dxfId="11" priority="3" stopIfTrue="1">
      <formula>J7="DATE NEEDED"</formula>
    </cfRule>
  </conditionalFormatting>
  <conditionalFormatting sqref="G3:L3">
    <cfRule type="expression" dxfId="10" priority="4" stopIfTrue="1">
      <formula>G3="REGISTER COMPLETE"</formula>
    </cfRule>
    <cfRule type="expression" dxfId="9" priority="5" stopIfTrue="1">
      <formula>G3="DOCUMENTATION INCOMPLETE"</formula>
    </cfRule>
  </conditionalFormatting>
  <dataValidations count="1">
    <dataValidation type="list" allowBlank="1" showInputMessage="1" showErrorMessage="1" promptTitle="Confidence" prompt="Select the confidence level supported by the evidence." sqref="K7:K82" xr:uid="{1550D5AC-6C56-42DE-8E18-1FB00D107289}">
      <formula1>"TBD,Low,Medium,High"</formula1>
    </dataValidation>
  </dataValidations>
  <pageMargins left="0.25" right="0.25" top="0.33333333333333331" bottom="0.33333333333333331" header="0.3" footer="0.3"/>
  <pageSetup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89EF3-32EA-4B69-9A80-1EB228E9CD9E}">
  <sheetPr>
    <pageSetUpPr fitToPage="1"/>
  </sheetPr>
  <dimension ref="A1:BE32"/>
  <sheetViews>
    <sheetView showGridLines="0" zoomScale="85" zoomScaleNormal="85" workbookViewId="0">
      <pane xSplit="2" ySplit="6" topLeftCell="C7" activePane="bottomRight" state="frozen"/>
      <selection pane="topRight" activeCell="C1" sqref="C1"/>
      <selection pane="bottomLeft" activeCell="A7" sqref="A7"/>
      <selection pane="bottomRight" activeCell="F7" sqref="F7"/>
    </sheetView>
  </sheetViews>
  <sheetFormatPr defaultRowHeight="12.3"/>
  <cols>
    <col min="1" max="1" width="32.578125" style="78" customWidth="1"/>
    <col min="2" max="2" width="18.578125" style="78" customWidth="1"/>
    <col min="3" max="7" width="19.578125" style="78" customWidth="1"/>
    <col min="8" max="13" width="8.83984375" style="78"/>
    <col min="14" max="57" width="0" style="78" hidden="1" customWidth="1"/>
    <col min="58" max="16384" width="8.83984375" style="78"/>
  </cols>
  <sheetData>
    <row r="1" spans="1:57" ht="25" customHeight="1">
      <c r="A1" s="228" t="s">
        <v>0</v>
      </c>
      <c r="B1" s="228"/>
      <c r="C1" s="228"/>
      <c r="D1" s="228"/>
      <c r="E1" s="228"/>
      <c r="F1" s="228"/>
      <c r="G1" s="228"/>
      <c r="O1" s="78">
        <f>'Returns &amp; Waterfall'!B4</f>
        <v>1119327144.0365865</v>
      </c>
      <c r="R1" s="78">
        <f>'Returns &amp; Waterfall'!B9</f>
        <v>941428283.645275</v>
      </c>
      <c r="U1" s="78">
        <f>'Returns &amp; Waterfall'!B10</f>
        <v>177898860.39131153</v>
      </c>
      <c r="X1" s="78">
        <f>'Returns &amp; Waterfall'!B11</f>
        <v>0.18896698079058652</v>
      </c>
      <c r="AA1" s="78">
        <f>'Returns &amp; Waterfall'!B12</f>
        <v>0.15893374992208417</v>
      </c>
      <c r="AD1" s="78">
        <f>'Returns &amp; Waterfall'!B15</f>
        <v>277444576.59878397</v>
      </c>
      <c r="AG1" s="78">
        <f>'Returns &amp; Waterfall'!B7</f>
        <v>128246754.30367941</v>
      </c>
      <c r="AJ1" s="78">
        <f>'Returns &amp; Waterfall'!B18</f>
        <v>1.4471939764397486</v>
      </c>
      <c r="AM1" s="78">
        <f>'Returns &amp; Waterfall'!B22</f>
        <v>0.51220126031557789</v>
      </c>
      <c r="AP1" s="78">
        <f>'Returns &amp; Waterfall'!B50</f>
        <v>0.37349016093448806</v>
      </c>
      <c r="AS1" s="78">
        <f>'Returns &amp; Waterfall'!B23</f>
        <v>91172606.882908762</v>
      </c>
      <c r="AV1" s="78">
        <f>'Lender &amp; Risk'!B21</f>
        <v>0.16384922672379809</v>
      </c>
      <c r="AY1" s="78">
        <f>'Returns &amp; Waterfall'!B26</f>
        <v>1.8333333333333333</v>
      </c>
      <c r="BA1" s="78" t="s">
        <v>405</v>
      </c>
      <c r="BB1" s="78" t="s">
        <v>55</v>
      </c>
      <c r="BD1" s="78" t="s">
        <v>405</v>
      </c>
      <c r="BE1" s="78" t="s">
        <v>221</v>
      </c>
    </row>
    <row r="2" spans="1:57" ht="34" customHeight="1">
      <c r="A2" s="229" t="s">
        <v>573</v>
      </c>
      <c r="B2" s="229"/>
      <c r="C2" s="229"/>
      <c r="D2" s="229"/>
      <c r="E2" s="229"/>
      <c r="F2" s="229"/>
      <c r="G2" s="229"/>
      <c r="N2" s="78">
        <v>1</v>
      </c>
      <c r="O2" s="78">
        <f t="dataTable" ref="O2:O4" dt2D="0" dtr="0" r1="B3" ca="1"/>
        <v>1119327144.0365865</v>
      </c>
      <c r="Q2" s="78">
        <v>1</v>
      </c>
      <c r="R2" s="78">
        <f t="dataTable" ref="R2:R4" dt2D="0" dtr="0" r1="B3" ca="1"/>
        <v>941428283.645275</v>
      </c>
      <c r="T2" s="78">
        <v>1</v>
      </c>
      <c r="U2" s="78">
        <f t="dataTable" ref="U2:U4" dt2D="0" dtr="0" r1="B3" ca="1"/>
        <v>177898860.39131153</v>
      </c>
      <c r="W2" s="78">
        <v>1</v>
      </c>
      <c r="X2" s="78">
        <f t="dataTable" ref="X2:X4" dt2D="0" dtr="0" r1="B3" ca="1"/>
        <v>0.18896698079058652</v>
      </c>
      <c r="Z2" s="78">
        <v>1</v>
      </c>
      <c r="AA2" s="78">
        <f t="dataTable" ref="AA2:AA4" dt2D="0" dtr="0" r1="B3" ca="1"/>
        <v>0.15893374992208417</v>
      </c>
      <c r="AC2" s="78">
        <v>1</v>
      </c>
      <c r="AD2" s="78">
        <f t="dataTable" ref="AD2:AD4" dt2D="0" dtr="0" r1="B3" ca="1"/>
        <v>277444576.59878397</v>
      </c>
      <c r="AF2" s="78">
        <v>1</v>
      </c>
      <c r="AG2" s="78">
        <f t="dataTable" ref="AG2:AG4" dt2D="0" dtr="0" r1="B3" ca="1"/>
        <v>128246754.30367941</v>
      </c>
      <c r="AI2" s="78">
        <v>1</v>
      </c>
      <c r="AJ2" s="78">
        <f t="dataTable" ref="AJ2:AJ4" dt2D="0" dtr="0" r1="B3" ca="1"/>
        <v>1.4471939764397486</v>
      </c>
      <c r="AL2" s="78">
        <v>1</v>
      </c>
      <c r="AM2" s="78">
        <f t="dataTable" ref="AM2:AM4" dt2D="0" dtr="0" r1="B3" ca="1"/>
        <v>0.51220126031557789</v>
      </c>
      <c r="AO2" s="78">
        <v>1</v>
      </c>
      <c r="AP2" s="78">
        <f t="dataTable" ref="AP2:AP4" dt2D="0" dtr="0" r1="B3" ca="1"/>
        <v>0.37349016093448806</v>
      </c>
      <c r="AR2" s="78">
        <v>1</v>
      </c>
      <c r="AS2" s="78">
        <f t="dataTable" ref="AS2:AS4" dt2D="0" dtr="0" r1="B3" ca="1"/>
        <v>91172606.882908762</v>
      </c>
      <c r="AU2" s="78">
        <v>1</v>
      </c>
      <c r="AV2" s="78">
        <f t="dataTable" ref="AV2:AV4" dt2D="0" dtr="0" r1="B3" ca="1"/>
        <v>0.16384922672379809</v>
      </c>
      <c r="AX2" s="78">
        <v>1</v>
      </c>
      <c r="AY2" s="78">
        <f t="dataTable" ref="AY2:AY4" dt2D="0" dtr="0" r1="B3"/>
        <v>1.8333333333333333</v>
      </c>
      <c r="BA2" s="78" t="s">
        <v>86</v>
      </c>
      <c r="BB2" s="164">
        <f>C15</f>
        <v>177898860.39131153</v>
      </c>
      <c r="BD2" s="78" t="s">
        <v>86</v>
      </c>
      <c r="BE2" s="165">
        <f>C16</f>
        <v>0.18896698079058652</v>
      </c>
    </row>
    <row r="3" spans="1:57" ht="28" customHeight="1">
      <c r="A3" s="192" t="s">
        <v>574</v>
      </c>
      <c r="B3" s="126">
        <v>1</v>
      </c>
      <c r="C3" s="240" t="str">
        <f>CHOOSE(B3,"Base","Downside","Upside")</f>
        <v>Base</v>
      </c>
      <c r="D3" s="240"/>
      <c r="E3" s="241" t="s">
        <v>575</v>
      </c>
      <c r="F3" s="241"/>
      <c r="G3" s="241"/>
      <c r="N3" s="78">
        <v>2</v>
      </c>
      <c r="O3" s="78">
        <v>1029780972.5136598</v>
      </c>
      <c r="Q3" s="78">
        <v>2</v>
      </c>
      <c r="R3" s="78">
        <v>1026234859.6966189</v>
      </c>
      <c r="T3" s="78">
        <v>2</v>
      </c>
      <c r="U3" s="78">
        <v>3546112.8170409203</v>
      </c>
      <c r="W3" s="78">
        <v>2</v>
      </c>
      <c r="X3" s="78">
        <v>3.4554593264247927E-3</v>
      </c>
      <c r="Z3" s="78">
        <v>2</v>
      </c>
      <c r="AA3" s="78">
        <v>3.4435602440633381E-3</v>
      </c>
      <c r="AC3" s="78">
        <v>2</v>
      </c>
      <c r="AD3" s="78">
        <v>336501897.93669605</v>
      </c>
      <c r="AF3" s="78">
        <v>2</v>
      </c>
      <c r="AG3" s="78">
        <v>156573912.56182989</v>
      </c>
      <c r="AI3" s="78">
        <v>2</v>
      </c>
      <c r="AJ3" s="78">
        <v>1.0134644002136324</v>
      </c>
      <c r="AL3" s="78">
        <v>2</v>
      </c>
      <c r="AM3" s="78">
        <v>1.5228318462227053E-2</v>
      </c>
      <c r="AO3" s="78">
        <v>2</v>
      </c>
      <c r="AP3" s="78">
        <v>1.2488183171030398E-2</v>
      </c>
      <c r="AR3" s="78">
        <v>2</v>
      </c>
      <c r="AS3" s="78">
        <v>-49220375.781121239</v>
      </c>
      <c r="AU3" s="78">
        <v>2</v>
      </c>
      <c r="AV3" s="78">
        <v>3.550062107281704E-3</v>
      </c>
      <c r="AX3" s="78">
        <v>2</v>
      </c>
      <c r="AY3" s="78">
        <v>2.1666666666666665</v>
      </c>
      <c r="BA3" s="78" t="s">
        <v>87</v>
      </c>
      <c r="BB3" s="164">
        <f>D15</f>
        <v>3546112.8170409203</v>
      </c>
      <c r="BD3" s="78" t="s">
        <v>87</v>
      </c>
      <c r="BE3" s="165">
        <f>D16</f>
        <v>3.4554593264247927E-3</v>
      </c>
    </row>
    <row r="4" spans="1:57" ht="30" customHeight="1">
      <c r="A4" s="232" t="s">
        <v>576</v>
      </c>
      <c r="B4" s="232"/>
      <c r="C4" s="232"/>
      <c r="D4" s="232"/>
      <c r="E4" s="232"/>
      <c r="F4" s="232"/>
      <c r="G4" s="232"/>
      <c r="N4" s="78">
        <v>3</v>
      </c>
      <c r="O4" s="78">
        <v>1186486772.6787817</v>
      </c>
      <c r="Q4" s="78">
        <v>3</v>
      </c>
      <c r="R4" s="78">
        <v>888953532.45658553</v>
      </c>
      <c r="T4" s="78">
        <v>3</v>
      </c>
      <c r="U4" s="78">
        <v>297533240.22219622</v>
      </c>
      <c r="W4" s="78">
        <v>3</v>
      </c>
      <c r="X4" s="78">
        <v>0.33470055448227498</v>
      </c>
      <c r="Z4" s="78">
        <v>3</v>
      </c>
      <c r="AA4" s="78">
        <v>0.25076827409583569</v>
      </c>
      <c r="AC4" s="78">
        <v>3</v>
      </c>
      <c r="AD4" s="78">
        <v>264369761.42364636</v>
      </c>
      <c r="AF4" s="78">
        <v>3</v>
      </c>
      <c r="AG4" s="78">
        <v>109892338.23626535</v>
      </c>
      <c r="AI4" s="78">
        <v>3</v>
      </c>
      <c r="AJ4" s="78">
        <v>1.7867655192989005</v>
      </c>
      <c r="AL4" s="78">
        <v>3</v>
      </c>
      <c r="AM4" s="78">
        <v>0.90193635296422214</v>
      </c>
      <c r="AO4" s="78">
        <v>3</v>
      </c>
      <c r="AP4" s="78">
        <v>0.67354674445905705</v>
      </c>
      <c r="AR4" s="78">
        <v>3</v>
      </c>
      <c r="AS4" s="78">
        <v>187368177.06165248</v>
      </c>
      <c r="AU4" s="78">
        <v>3</v>
      </c>
      <c r="AV4" s="78">
        <v>0.25852399391323266</v>
      </c>
      <c r="AX4" s="78">
        <v>3</v>
      </c>
      <c r="AY4" s="78">
        <v>1.8333333333333333</v>
      </c>
      <c r="BA4" s="78" t="s">
        <v>88</v>
      </c>
      <c r="BB4" s="164">
        <f>F15</f>
        <v>297533240.22219622</v>
      </c>
      <c r="BD4" s="78" t="s">
        <v>88</v>
      </c>
      <c r="BE4" s="165">
        <f>F16</f>
        <v>0.33470055448227498</v>
      </c>
    </row>
    <row r="6" spans="1:57" ht="24" customHeight="1">
      <c r="A6" s="129" t="s">
        <v>578</v>
      </c>
      <c r="B6" s="129" t="s">
        <v>363</v>
      </c>
      <c r="C6" s="130" t="s">
        <v>86</v>
      </c>
      <c r="D6" s="131" t="s">
        <v>87</v>
      </c>
      <c r="E6" s="131" t="s">
        <v>579</v>
      </c>
      <c r="F6" s="132" t="s">
        <v>88</v>
      </c>
      <c r="G6" s="132" t="s">
        <v>579</v>
      </c>
    </row>
    <row r="7" spans="1:57" ht="23.05" customHeight="1">
      <c r="A7" s="148" t="s">
        <v>580</v>
      </c>
      <c r="B7" s="151" t="s">
        <v>407</v>
      </c>
      <c r="C7" s="155">
        <f>Assumptions!B17</f>
        <v>1</v>
      </c>
      <c r="D7" s="166">
        <f>Assumptions!C17</f>
        <v>0.92</v>
      </c>
      <c r="E7" s="167">
        <f>D7-C7</f>
        <v>-7.999999999999996E-2</v>
      </c>
      <c r="F7" s="168">
        <f>Assumptions!D17</f>
        <v>1.06</v>
      </c>
      <c r="G7" s="169">
        <f>F7-C7</f>
        <v>6.0000000000000053E-2</v>
      </c>
    </row>
    <row r="8" spans="1:57" ht="23.05" customHeight="1">
      <c r="A8" s="149" t="s">
        <v>581</v>
      </c>
      <c r="B8" s="152" t="s">
        <v>417</v>
      </c>
      <c r="C8" s="156">
        <f>Assumptions!B18</f>
        <v>68000</v>
      </c>
      <c r="D8" s="170">
        <f>Assumptions!C18</f>
        <v>76000</v>
      </c>
      <c r="E8" s="171">
        <f>D8-C8</f>
        <v>8000</v>
      </c>
      <c r="F8" s="172">
        <f>Assumptions!D18</f>
        <v>63000</v>
      </c>
      <c r="G8" s="173">
        <f>F8-C8</f>
        <v>-5000</v>
      </c>
    </row>
    <row r="9" spans="1:57" ht="23.05" customHeight="1">
      <c r="A9" s="149" t="s">
        <v>582</v>
      </c>
      <c r="B9" s="152" t="s">
        <v>427</v>
      </c>
      <c r="C9" s="157">
        <f>Assumptions!B19</f>
        <v>0.16</v>
      </c>
      <c r="D9" s="174">
        <f>Assumptions!C19</f>
        <v>0.18</v>
      </c>
      <c r="E9" s="175">
        <f>D9-C9</f>
        <v>1.999999999999999E-2</v>
      </c>
      <c r="F9" s="176">
        <f>Assumptions!D19</f>
        <v>0.14000000000000001</v>
      </c>
      <c r="G9" s="177">
        <f>F9-C9</f>
        <v>-1.999999999999999E-2</v>
      </c>
    </row>
    <row r="10" spans="1:57" ht="23.05" customHeight="1">
      <c r="A10" s="150" t="s">
        <v>583</v>
      </c>
      <c r="B10" s="153" t="s">
        <v>437</v>
      </c>
      <c r="C10" s="158">
        <f>Assumptions!B20</f>
        <v>8</v>
      </c>
      <c r="D10" s="178">
        <f>Assumptions!C20</f>
        <v>5</v>
      </c>
      <c r="E10" s="179">
        <f>D10-C10</f>
        <v>-3</v>
      </c>
      <c r="F10" s="180">
        <f>Assumptions!D20</f>
        <v>11</v>
      </c>
      <c r="G10" s="181">
        <f>F10-C10</f>
        <v>3</v>
      </c>
    </row>
    <row r="11" spans="1:57" ht="23.05" customHeight="1">
      <c r="A11" s="128"/>
      <c r="B11" s="154"/>
      <c r="C11" s="159"/>
      <c r="D11" s="160"/>
      <c r="E11" s="160"/>
      <c r="F11" s="161"/>
      <c r="G11" s="161"/>
    </row>
    <row r="12" spans="1:57" ht="23.05" customHeight="1">
      <c r="A12" s="230" t="s">
        <v>584</v>
      </c>
      <c r="B12" s="239"/>
      <c r="C12" s="242"/>
      <c r="D12" s="243"/>
      <c r="E12" s="243"/>
      <c r="F12" s="244"/>
      <c r="G12" s="244"/>
    </row>
    <row r="13" spans="1:57" ht="23.05" customHeight="1">
      <c r="A13" s="148" t="s">
        <v>585</v>
      </c>
      <c r="B13" s="151" t="s">
        <v>458</v>
      </c>
      <c r="C13" s="162">
        <f>O2</f>
        <v>1119327144.0365865</v>
      </c>
      <c r="D13" s="182">
        <f>O3</f>
        <v>1029780972.5136598</v>
      </c>
      <c r="E13" s="183">
        <f t="shared" ref="E13:E25" si="0">D13-C13</f>
        <v>-89546171.522926688</v>
      </c>
      <c r="F13" s="184">
        <f>O4</f>
        <v>1186486772.6787817</v>
      </c>
      <c r="G13" s="185">
        <f t="shared" ref="G13:G25" si="1">F13-C13</f>
        <v>67159628.642195225</v>
      </c>
    </row>
    <row r="14" spans="1:57" ht="23.05" customHeight="1">
      <c r="A14" s="149" t="s">
        <v>219</v>
      </c>
      <c r="B14" s="152" t="s">
        <v>458</v>
      </c>
      <c r="C14" s="156">
        <f>R2</f>
        <v>941428283.645275</v>
      </c>
      <c r="D14" s="170">
        <f>R3</f>
        <v>1026234859.6966189</v>
      </c>
      <c r="E14" s="171">
        <f t="shared" si="0"/>
        <v>84806576.051343918</v>
      </c>
      <c r="F14" s="172">
        <f>R4</f>
        <v>888953532.45658553</v>
      </c>
      <c r="G14" s="173">
        <f t="shared" si="1"/>
        <v>-52474751.18868947</v>
      </c>
    </row>
    <row r="15" spans="1:57" ht="23.05" customHeight="1">
      <c r="A15" s="149" t="s">
        <v>55</v>
      </c>
      <c r="B15" s="152" t="s">
        <v>458</v>
      </c>
      <c r="C15" s="156">
        <f>U2</f>
        <v>177898860.39131153</v>
      </c>
      <c r="D15" s="170">
        <f>U3</f>
        <v>3546112.8170409203</v>
      </c>
      <c r="E15" s="171">
        <f t="shared" si="0"/>
        <v>-174352747.57427061</v>
      </c>
      <c r="F15" s="172">
        <f>U4</f>
        <v>297533240.22219622</v>
      </c>
      <c r="G15" s="173">
        <f t="shared" si="1"/>
        <v>119634379.8308847</v>
      </c>
    </row>
    <row r="16" spans="1:57" ht="23.05" customHeight="1">
      <c r="A16" s="149" t="s">
        <v>221</v>
      </c>
      <c r="B16" s="152" t="s">
        <v>477</v>
      </c>
      <c r="C16" s="157">
        <f>X2</f>
        <v>0.18896698079058652</v>
      </c>
      <c r="D16" s="174">
        <f>X3</f>
        <v>3.4554593264247927E-3</v>
      </c>
      <c r="E16" s="175">
        <f t="shared" si="0"/>
        <v>-0.18551152146416172</v>
      </c>
      <c r="F16" s="176">
        <f>X4</f>
        <v>0.33470055448227498</v>
      </c>
      <c r="G16" s="177">
        <f t="shared" si="1"/>
        <v>0.14573357369168846</v>
      </c>
    </row>
    <row r="17" spans="1:7" ht="23.05" customHeight="1">
      <c r="A17" s="149" t="s">
        <v>222</v>
      </c>
      <c r="B17" s="152" t="s">
        <v>477</v>
      </c>
      <c r="C17" s="157">
        <f>AA2</f>
        <v>0.15893374992208417</v>
      </c>
      <c r="D17" s="174">
        <f>AA3</f>
        <v>3.4435602440633381E-3</v>
      </c>
      <c r="E17" s="175">
        <f t="shared" si="0"/>
        <v>-0.15549018967802083</v>
      </c>
      <c r="F17" s="176">
        <f>AA4</f>
        <v>0.25076827409583569</v>
      </c>
      <c r="G17" s="177">
        <f t="shared" si="1"/>
        <v>9.1834524173751514E-2</v>
      </c>
    </row>
    <row r="18" spans="1:7" ht="23.05" customHeight="1">
      <c r="A18" s="149" t="s">
        <v>28</v>
      </c>
      <c r="B18" s="152" t="s">
        <v>458</v>
      </c>
      <c r="C18" s="156">
        <f>AD2</f>
        <v>277444576.59878397</v>
      </c>
      <c r="D18" s="170">
        <f>AD3</f>
        <v>336501897.93669605</v>
      </c>
      <c r="E18" s="171">
        <f t="shared" si="0"/>
        <v>59057321.337912083</v>
      </c>
      <c r="F18" s="172">
        <f>AD4</f>
        <v>264369761.42364636</v>
      </c>
      <c r="G18" s="173">
        <f t="shared" si="1"/>
        <v>-13074815.175137609</v>
      </c>
    </row>
    <row r="19" spans="1:7" ht="23.05" customHeight="1">
      <c r="A19" s="149" t="s">
        <v>29</v>
      </c>
      <c r="B19" s="152" t="s">
        <v>458</v>
      </c>
      <c r="C19" s="156">
        <f>AG2</f>
        <v>128246754.30367941</v>
      </c>
      <c r="D19" s="170">
        <f>AG3</f>
        <v>156573912.56182989</v>
      </c>
      <c r="E19" s="171">
        <f t="shared" si="0"/>
        <v>28327158.258150488</v>
      </c>
      <c r="F19" s="172">
        <f>AG4</f>
        <v>109892338.23626535</v>
      </c>
      <c r="G19" s="173">
        <f t="shared" si="1"/>
        <v>-18354416.06741406</v>
      </c>
    </row>
    <row r="20" spans="1:7" ht="23.05" customHeight="1">
      <c r="A20" s="149" t="s">
        <v>227</v>
      </c>
      <c r="B20" s="152" t="s">
        <v>407</v>
      </c>
      <c r="C20" s="163">
        <f>AJ2</f>
        <v>1.4471939764397486</v>
      </c>
      <c r="D20" s="186">
        <f>AJ3</f>
        <v>1.0134644002136324</v>
      </c>
      <c r="E20" s="187">
        <f t="shared" si="0"/>
        <v>-0.43372957622611619</v>
      </c>
      <c r="F20" s="188">
        <f>AJ4</f>
        <v>1.7867655192989005</v>
      </c>
      <c r="G20" s="189">
        <f t="shared" si="1"/>
        <v>0.33957154285915192</v>
      </c>
    </row>
    <row r="21" spans="1:7" ht="23.05" customHeight="1">
      <c r="A21" s="149" t="s">
        <v>586</v>
      </c>
      <c r="B21" s="152" t="s">
        <v>477</v>
      </c>
      <c r="C21" s="157">
        <f>AM2</f>
        <v>0.51220126031557789</v>
      </c>
      <c r="D21" s="174">
        <f>AM3</f>
        <v>1.5228318462227053E-2</v>
      </c>
      <c r="E21" s="175">
        <f t="shared" si="0"/>
        <v>-0.49697294185335084</v>
      </c>
      <c r="F21" s="176">
        <f>AM4</f>
        <v>0.90193635296422214</v>
      </c>
      <c r="G21" s="177">
        <f t="shared" si="1"/>
        <v>0.38973509264864425</v>
      </c>
    </row>
    <row r="22" spans="1:7" ht="23.05" customHeight="1">
      <c r="A22" s="149" t="s">
        <v>587</v>
      </c>
      <c r="B22" s="152" t="s">
        <v>477</v>
      </c>
      <c r="C22" s="157">
        <f>AP2</f>
        <v>0.37349016093448806</v>
      </c>
      <c r="D22" s="174">
        <f>AP3</f>
        <v>1.2488183171030398E-2</v>
      </c>
      <c r="E22" s="175">
        <f t="shared" si="0"/>
        <v>-0.36100197776345766</v>
      </c>
      <c r="F22" s="176">
        <f>AP4</f>
        <v>0.67354674445905705</v>
      </c>
      <c r="G22" s="177">
        <f t="shared" si="1"/>
        <v>0.30005658352456899</v>
      </c>
    </row>
    <row r="23" spans="1:7" ht="23.05" customHeight="1">
      <c r="A23" s="149" t="s">
        <v>588</v>
      </c>
      <c r="B23" s="152" t="s">
        <v>458</v>
      </c>
      <c r="C23" s="156">
        <f>AS2</f>
        <v>91172606.882908762</v>
      </c>
      <c r="D23" s="170">
        <f>AS3</f>
        <v>-49220375.781121239</v>
      </c>
      <c r="E23" s="171">
        <f t="shared" si="0"/>
        <v>-140392982.66403002</v>
      </c>
      <c r="F23" s="172">
        <f>AS4</f>
        <v>187368177.06165248</v>
      </c>
      <c r="G23" s="173">
        <f t="shared" si="1"/>
        <v>96195570.17874372</v>
      </c>
    </row>
    <row r="24" spans="1:7" ht="23.05" customHeight="1">
      <c r="A24" s="149" t="s">
        <v>294</v>
      </c>
      <c r="B24" s="152" t="s">
        <v>477</v>
      </c>
      <c r="C24" s="157">
        <f>AV2</f>
        <v>0.16384922672379809</v>
      </c>
      <c r="D24" s="174">
        <f>AV3</f>
        <v>3.550062107281704E-3</v>
      </c>
      <c r="E24" s="175">
        <f t="shared" si="0"/>
        <v>-0.16029916461651639</v>
      </c>
      <c r="F24" s="176">
        <f>AV4</f>
        <v>0.25852399391323266</v>
      </c>
      <c r="G24" s="177">
        <f t="shared" si="1"/>
        <v>9.4674767189434572E-2</v>
      </c>
    </row>
    <row r="25" spans="1:7" ht="23.05" customHeight="1">
      <c r="A25" s="150" t="s">
        <v>589</v>
      </c>
      <c r="B25" s="153" t="s">
        <v>590</v>
      </c>
      <c r="C25" s="158">
        <f>AY2</f>
        <v>1.8333333333333333</v>
      </c>
      <c r="D25" s="178">
        <f>AY3</f>
        <v>2.1666666666666665</v>
      </c>
      <c r="E25" s="190">
        <f t="shared" si="0"/>
        <v>0.33333333333333326</v>
      </c>
      <c r="F25" s="180">
        <f>AY4</f>
        <v>1.8333333333333333</v>
      </c>
      <c r="G25" s="191">
        <f t="shared" si="1"/>
        <v>0</v>
      </c>
    </row>
    <row r="26" spans="1:7" ht="23.05" customHeight="1">
      <c r="A26" s="128"/>
      <c r="B26" s="154"/>
    </row>
    <row r="27" spans="1:7" ht="23.05" customHeight="1">
      <c r="A27" s="230" t="s">
        <v>591</v>
      </c>
      <c r="B27" s="239"/>
      <c r="C27" s="230"/>
      <c r="D27" s="230"/>
      <c r="E27" s="230"/>
      <c r="F27" s="230"/>
      <c r="G27" s="230"/>
    </row>
    <row r="28" spans="1:7" ht="23.05" customHeight="1">
      <c r="A28" s="148" t="s">
        <v>592</v>
      </c>
      <c r="B28" s="151" t="s">
        <v>593</v>
      </c>
      <c r="C28" s="136" t="str">
        <f>IF(C16&gt;=15%,"MEETS","BELOW")</f>
        <v>MEETS</v>
      </c>
      <c r="D28" s="137" t="str">
        <f>IF(D16&gt;=15%,"MEETS","BELOW")</f>
        <v>BELOW</v>
      </c>
      <c r="E28" s="138"/>
      <c r="F28" s="139" t="str">
        <f>IF(F16&gt;=15%,"MEETS","BELOW")</f>
        <v>MEETS</v>
      </c>
      <c r="G28" s="133"/>
    </row>
    <row r="29" spans="1:7" ht="23.05" customHeight="1">
      <c r="A29" s="149" t="s">
        <v>594</v>
      </c>
      <c r="B29" s="152" t="s">
        <v>595</v>
      </c>
      <c r="C29" s="140" t="str">
        <f>IF(C15&gt;0,"PASS","FAIL")</f>
        <v>PASS</v>
      </c>
      <c r="D29" s="141" t="str">
        <f>IF(D15&gt;0,"PASS","FAIL")</f>
        <v>PASS</v>
      </c>
      <c r="E29" s="142"/>
      <c r="F29" s="143" t="str">
        <f>IF(F15&gt;0,"PASS","FAIL")</f>
        <v>PASS</v>
      </c>
      <c r="G29" s="134"/>
    </row>
    <row r="30" spans="1:7" ht="23.05" customHeight="1">
      <c r="A30" s="150" t="s">
        <v>596</v>
      </c>
      <c r="B30" s="153" t="s">
        <v>597</v>
      </c>
      <c r="C30" s="144" t="str">
        <f>IF(AND(C28="MEETS",C29="PASS"),"INVESTABLE","REVIEW")</f>
        <v>INVESTABLE</v>
      </c>
      <c r="D30" s="145" t="str">
        <f>IF(AND(D28="MEETS",D29="PASS"),"INVESTABLE","REVIEW")</f>
        <v>REVIEW</v>
      </c>
      <c r="E30" s="146"/>
      <c r="F30" s="147" t="str">
        <f>IF(AND(F28="MEETS",F29="PASS"),"INVESTABLE","REVIEW")</f>
        <v>INVESTABLE</v>
      </c>
      <c r="G30" s="135"/>
    </row>
    <row r="32" spans="1:7" ht="31" customHeight="1">
      <c r="A32" s="232" t="s">
        <v>598</v>
      </c>
      <c r="B32" s="232"/>
      <c r="C32" s="232"/>
      <c r="D32" s="232"/>
      <c r="E32" s="232"/>
      <c r="F32" s="232"/>
      <c r="G32" s="232"/>
    </row>
  </sheetData>
  <mergeCells count="8">
    <mergeCell ref="A27:G27"/>
    <mergeCell ref="A32:G32"/>
    <mergeCell ref="A1:G1"/>
    <mergeCell ref="A2:G2"/>
    <mergeCell ref="C3:D3"/>
    <mergeCell ref="E3:G3"/>
    <mergeCell ref="A4:G4"/>
    <mergeCell ref="A12:G12"/>
  </mergeCells>
  <dataValidations count="1">
    <dataValidation type="whole" allowBlank="1" showInputMessage="1" showErrorMessage="1" promptTitle="Active scenario" prompt="Enter 1 Base, 2 Downside, or 3 Upside. This drives the live model." sqref="B3" xr:uid="{C84923A2-FB07-40AE-A508-8CE8FE74F7EA}">
      <formula1>1</formula1>
      <formula2>3</formula2>
    </dataValidation>
  </dataValidations>
  <pageMargins left="0.27777777777777779" right="0.27777777777777779" top="0.33333333333333331" bottom="0.33333333333333331" header="0.3" footer="0.3"/>
  <pageSetup scale="54"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M34"/>
  <sheetViews>
    <sheetView showGridLines="0" zoomScale="75" zoomScaleNormal="75" workbookViewId="0">
      <pane xSplit="2" ySplit="6" topLeftCell="C7" activePane="bottomRight" state="frozen"/>
      <selection activeCell="C23" sqref="C23"/>
      <selection pane="topRight" activeCell="C23" sqref="C23"/>
      <selection pane="bottomLeft" activeCell="C23" sqref="C23"/>
      <selection pane="bottomRight" activeCell="C23" sqref="C23"/>
    </sheetView>
  </sheetViews>
  <sheetFormatPr defaultRowHeight="14.4"/>
  <cols>
    <col min="1" max="2" width="10" customWidth="1"/>
    <col min="3" max="39" width="3.1015625" customWidth="1"/>
  </cols>
  <sheetData>
    <row r="1" spans="1:39" ht="25" customHeight="1">
      <c r="A1" s="228" t="s">
        <v>0</v>
      </c>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row>
    <row r="2" spans="1:39" ht="34" customHeight="1">
      <c r="A2" s="229" t="s">
        <v>600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row>
    <row r="3" spans="1:39" ht="23.05" customHeight="1">
      <c r="A3" s="245" t="s">
        <v>574</v>
      </c>
      <c r="B3" s="245"/>
      <c r="C3" s="245"/>
      <c r="D3" s="245"/>
      <c r="E3" s="245"/>
      <c r="F3" s="245"/>
      <c r="G3" s="245"/>
      <c r="H3" s="245"/>
      <c r="I3" s="245" t="s">
        <v>601</v>
      </c>
      <c r="J3" s="245"/>
      <c r="K3" s="245"/>
      <c r="L3" s="245"/>
      <c r="M3" s="245"/>
      <c r="N3" s="245"/>
      <c r="O3" s="245"/>
      <c r="P3" s="245"/>
      <c r="Q3" s="245" t="s">
        <v>14</v>
      </c>
      <c r="R3" s="245"/>
      <c r="S3" s="245"/>
      <c r="T3" s="245"/>
      <c r="U3" s="245"/>
      <c r="V3" s="245"/>
      <c r="W3" s="245"/>
      <c r="X3" s="245"/>
      <c r="Y3" s="245" t="s">
        <v>602</v>
      </c>
      <c r="Z3" s="245"/>
      <c r="AA3" s="245"/>
      <c r="AB3" s="245"/>
      <c r="AC3" s="245"/>
      <c r="AD3" s="245"/>
      <c r="AE3" s="245"/>
      <c r="AF3" s="245"/>
      <c r="AG3" s="245" t="s">
        <v>603</v>
      </c>
      <c r="AH3" s="245"/>
      <c r="AI3" s="245"/>
      <c r="AJ3" s="245"/>
      <c r="AK3" s="245"/>
      <c r="AL3" s="245"/>
      <c r="AM3" s="245"/>
    </row>
    <row r="4" spans="1:39" ht="25" customHeight="1">
      <c r="A4" s="240" t="str">
        <f>CHOOSE('Scenario Comparison'!B3,"Base","Downside","Upside")</f>
        <v>Base</v>
      </c>
      <c r="B4" s="240"/>
      <c r="C4" s="240"/>
      <c r="D4" s="240"/>
      <c r="E4" s="240"/>
      <c r="F4" s="240"/>
      <c r="G4" s="240"/>
      <c r="H4" s="240"/>
      <c r="I4" s="240" t="str">
        <f ca="1">IFERROR(_xludf.AGGREGATE(15,6,Cashflow!$A$4:$A$40/(Cashflow!$M$4:$M$40&gt;0),1),"Not reached")</f>
        <v>Not reached</v>
      </c>
      <c r="J4" s="240"/>
      <c r="K4" s="240"/>
      <c r="L4" s="240"/>
      <c r="M4" s="240"/>
      <c r="N4" s="240"/>
      <c r="O4" s="240"/>
      <c r="P4" s="240"/>
      <c r="Q4" s="240">
        <f>'Returns &amp; Waterfall'!B15</f>
        <v>277444576.59878397</v>
      </c>
      <c r="R4" s="240"/>
      <c r="S4" s="240"/>
      <c r="T4" s="240"/>
      <c r="U4" s="240"/>
      <c r="V4" s="240"/>
      <c r="W4" s="240"/>
      <c r="X4" s="240"/>
      <c r="Y4" s="240">
        <f>'Returns &amp; Waterfall'!B7</f>
        <v>128246754.30367941</v>
      </c>
      <c r="Z4" s="240"/>
      <c r="AA4" s="240"/>
      <c r="AB4" s="240"/>
      <c r="AC4" s="240"/>
      <c r="AD4" s="240"/>
      <c r="AE4" s="240"/>
      <c r="AF4" s="240"/>
      <c r="AG4" s="240">
        <f>IFERROR(LOOKUP(2,1/(ABS(Cashflow!$R$4:$R$40)&gt;0),Cashflow!$A$4:$A$40),"")</f>
        <v>21</v>
      </c>
      <c r="AH4" s="240"/>
      <c r="AI4" s="240"/>
      <c r="AJ4" s="240"/>
      <c r="AK4" s="240"/>
      <c r="AL4" s="240"/>
      <c r="AM4" s="240"/>
    </row>
    <row r="6" spans="1:39" ht="22" customHeight="1">
      <c r="A6" s="230" t="s">
        <v>604</v>
      </c>
      <c r="B6" s="230"/>
      <c r="C6" s="129">
        <v>0</v>
      </c>
      <c r="D6" s="129">
        <v>1</v>
      </c>
      <c r="E6" s="129">
        <v>2</v>
      </c>
      <c r="F6" s="129">
        <v>3</v>
      </c>
      <c r="G6" s="129">
        <v>4</v>
      </c>
      <c r="H6" s="129">
        <v>5</v>
      </c>
      <c r="I6" s="129">
        <v>6</v>
      </c>
      <c r="J6" s="129">
        <v>7</v>
      </c>
      <c r="K6" s="129">
        <v>8</v>
      </c>
      <c r="L6" s="129">
        <v>9</v>
      </c>
      <c r="M6" s="129">
        <v>10</v>
      </c>
      <c r="N6" s="129">
        <v>11</v>
      </c>
      <c r="O6" s="129">
        <v>12</v>
      </c>
      <c r="P6" s="129">
        <v>13</v>
      </c>
      <c r="Q6" s="129">
        <v>14</v>
      </c>
      <c r="R6" s="129">
        <v>15</v>
      </c>
      <c r="S6" s="129">
        <v>16</v>
      </c>
      <c r="T6" s="129">
        <v>17</v>
      </c>
      <c r="U6" s="129">
        <v>18</v>
      </c>
      <c r="V6" s="129">
        <v>19</v>
      </c>
      <c r="W6" s="129">
        <v>20</v>
      </c>
      <c r="X6" s="129">
        <v>21</v>
      </c>
      <c r="Y6" s="129">
        <v>22</v>
      </c>
      <c r="Z6" s="129">
        <v>23</v>
      </c>
      <c r="AA6" s="129">
        <v>24</v>
      </c>
      <c r="AB6" s="129">
        <v>25</v>
      </c>
      <c r="AC6" s="129">
        <v>26</v>
      </c>
      <c r="AD6" s="129">
        <v>27</v>
      </c>
      <c r="AE6" s="129">
        <v>28</v>
      </c>
      <c r="AF6" s="129">
        <v>29</v>
      </c>
      <c r="AG6" s="129">
        <v>30</v>
      </c>
      <c r="AH6" s="129">
        <v>31</v>
      </c>
      <c r="AI6" s="129">
        <v>32</v>
      </c>
      <c r="AJ6" s="129">
        <v>33</v>
      </c>
      <c r="AK6" s="129">
        <v>34</v>
      </c>
      <c r="AL6" s="129">
        <v>35</v>
      </c>
      <c r="AM6" s="129">
        <v>36</v>
      </c>
    </row>
    <row r="7" spans="1:39" ht="18" customHeight="1">
      <c r="A7" s="246" t="s">
        <v>605</v>
      </c>
      <c r="B7" s="246"/>
      <c r="C7" s="78">
        <f>--(C$6&lt;=Assumptions!$B$39)</f>
        <v>1</v>
      </c>
      <c r="D7" s="78">
        <f>--(D$6&lt;=Assumptions!$B$39)</f>
        <v>1</v>
      </c>
      <c r="E7" s="78">
        <f>--(E$6&lt;=Assumptions!$B$39)</f>
        <v>1</v>
      </c>
      <c r="F7" s="78">
        <f>--(F$6&lt;=Assumptions!$B$39)</f>
        <v>1</v>
      </c>
      <c r="G7" s="78">
        <f>--(G$6&lt;=Assumptions!$B$39)</f>
        <v>0</v>
      </c>
      <c r="H7" s="78">
        <f>--(H$6&lt;=Assumptions!$B$39)</f>
        <v>0</v>
      </c>
      <c r="I7" s="78">
        <f>--(I$6&lt;=Assumptions!$B$39)</f>
        <v>0</v>
      </c>
      <c r="J7" s="78">
        <f>--(J$6&lt;=Assumptions!$B$39)</f>
        <v>0</v>
      </c>
      <c r="K7" s="78">
        <f>--(K$6&lt;=Assumptions!$B$39)</f>
        <v>0</v>
      </c>
      <c r="L7" s="78">
        <f>--(L$6&lt;=Assumptions!$B$39)</f>
        <v>0</v>
      </c>
      <c r="M7" s="78">
        <f>--(M$6&lt;=Assumptions!$B$39)</f>
        <v>0</v>
      </c>
      <c r="N7" s="78">
        <f>--(N$6&lt;=Assumptions!$B$39)</f>
        <v>0</v>
      </c>
      <c r="O7" s="78">
        <f>--(O$6&lt;=Assumptions!$B$39)</f>
        <v>0</v>
      </c>
      <c r="P7" s="78">
        <f>--(P$6&lt;=Assumptions!$B$39)</f>
        <v>0</v>
      </c>
      <c r="Q7" s="78">
        <f>--(Q$6&lt;=Assumptions!$B$39)</f>
        <v>0</v>
      </c>
      <c r="R7" s="78">
        <f>--(R$6&lt;=Assumptions!$B$39)</f>
        <v>0</v>
      </c>
      <c r="S7" s="78">
        <f>--(S$6&lt;=Assumptions!$B$39)</f>
        <v>0</v>
      </c>
      <c r="T7" s="78">
        <f>--(T$6&lt;=Assumptions!$B$39)</f>
        <v>0</v>
      </c>
      <c r="U7" s="78">
        <f>--(U$6&lt;=Assumptions!$B$39)</f>
        <v>0</v>
      </c>
      <c r="V7" s="78">
        <f>--(V$6&lt;=Assumptions!$B$39)</f>
        <v>0</v>
      </c>
      <c r="W7" s="78">
        <f>--(W$6&lt;=Assumptions!$B$39)</f>
        <v>0</v>
      </c>
      <c r="X7" s="78">
        <f>--(X$6&lt;=Assumptions!$B$39)</f>
        <v>0</v>
      </c>
      <c r="Y7" s="78">
        <f>--(Y$6&lt;=Assumptions!$B$39)</f>
        <v>0</v>
      </c>
      <c r="Z7" s="78">
        <f>--(Z$6&lt;=Assumptions!$B$39)</f>
        <v>0</v>
      </c>
      <c r="AA7" s="78">
        <f>--(AA$6&lt;=Assumptions!$B$39)</f>
        <v>0</v>
      </c>
      <c r="AB7" s="78">
        <f>--(AB$6&lt;=Assumptions!$B$39)</f>
        <v>0</v>
      </c>
      <c r="AC7" s="78">
        <f>--(AC$6&lt;=Assumptions!$B$39)</f>
        <v>0</v>
      </c>
      <c r="AD7" s="78">
        <f>--(AD$6&lt;=Assumptions!$B$39)</f>
        <v>0</v>
      </c>
      <c r="AE7" s="78">
        <f>--(AE$6&lt;=Assumptions!$B$39)</f>
        <v>0</v>
      </c>
      <c r="AF7" s="78">
        <f>--(AF$6&lt;=Assumptions!$B$39)</f>
        <v>0</v>
      </c>
      <c r="AG7" s="78">
        <f>--(AG$6&lt;=Assumptions!$B$39)</f>
        <v>0</v>
      </c>
      <c r="AH7" s="78">
        <f>--(AH$6&lt;=Assumptions!$B$39)</f>
        <v>0</v>
      </c>
      <c r="AI7" s="78">
        <f>--(AI$6&lt;=Assumptions!$B$39)</f>
        <v>0</v>
      </c>
      <c r="AJ7" s="78">
        <f>--(AJ$6&lt;=Assumptions!$B$39)</f>
        <v>0</v>
      </c>
      <c r="AK7" s="78">
        <f>--(AK$6&lt;=Assumptions!$B$39)</f>
        <v>0</v>
      </c>
      <c r="AL7" s="78">
        <f>--(AL$6&lt;=Assumptions!$B$39)</f>
        <v>0</v>
      </c>
      <c r="AM7" s="78">
        <f>--(AM$6&lt;=Assumptions!$B$39)</f>
        <v>0</v>
      </c>
    </row>
    <row r="8" spans="1:39" ht="18" customHeight="1">
      <c r="A8" s="246" t="s">
        <v>46</v>
      </c>
      <c r="B8" s="246"/>
      <c r="C8" s="78">
        <f>--(AND(C$6&gt;Assumptions!$B$39,C$6&lt;=Assumptions!$B$69))</f>
        <v>0</v>
      </c>
      <c r="D8" s="78">
        <f>--(AND(D$6&gt;Assumptions!$B$39,D$6&lt;=Assumptions!$B$69))</f>
        <v>0</v>
      </c>
      <c r="E8" s="78">
        <f>--(AND(E$6&gt;Assumptions!$B$39,E$6&lt;=Assumptions!$B$69))</f>
        <v>0</v>
      </c>
      <c r="F8" s="78">
        <f>--(AND(F$6&gt;Assumptions!$B$39,F$6&lt;=Assumptions!$B$69))</f>
        <v>0</v>
      </c>
      <c r="G8" s="78">
        <f>--(AND(G$6&gt;Assumptions!$B$39,G$6&lt;=Assumptions!$B$69))</f>
        <v>1</v>
      </c>
      <c r="H8" s="78">
        <f>--(AND(H$6&gt;Assumptions!$B$39,H$6&lt;=Assumptions!$B$69))</f>
        <v>1</v>
      </c>
      <c r="I8" s="78">
        <f>--(AND(I$6&gt;Assumptions!$B$39,I$6&lt;=Assumptions!$B$69))</f>
        <v>1</v>
      </c>
      <c r="J8" s="78">
        <f>--(AND(J$6&gt;Assumptions!$B$39,J$6&lt;=Assumptions!$B$69))</f>
        <v>1</v>
      </c>
      <c r="K8" s="78">
        <f>--(AND(K$6&gt;Assumptions!$B$39,K$6&lt;=Assumptions!$B$69))</f>
        <v>1</v>
      </c>
      <c r="L8" s="78">
        <f>--(AND(L$6&gt;Assumptions!$B$39,L$6&lt;=Assumptions!$B$69))</f>
        <v>1</v>
      </c>
      <c r="M8" s="78">
        <f>--(AND(M$6&gt;Assumptions!$B$39,M$6&lt;=Assumptions!$B$69))</f>
        <v>1</v>
      </c>
      <c r="N8" s="78">
        <f>--(AND(N$6&gt;Assumptions!$B$39,N$6&lt;=Assumptions!$B$69))</f>
        <v>1</v>
      </c>
      <c r="O8" s="78">
        <f>--(AND(O$6&gt;Assumptions!$B$39,O$6&lt;=Assumptions!$B$69))</f>
        <v>1</v>
      </c>
      <c r="P8" s="78">
        <f>--(AND(P$6&gt;Assumptions!$B$39,P$6&lt;=Assumptions!$B$69))</f>
        <v>1</v>
      </c>
      <c r="Q8" s="78">
        <f>--(AND(Q$6&gt;Assumptions!$B$39,Q$6&lt;=Assumptions!$B$69))</f>
        <v>1</v>
      </c>
      <c r="R8" s="78">
        <f>--(AND(R$6&gt;Assumptions!$B$39,R$6&lt;=Assumptions!$B$69))</f>
        <v>1</v>
      </c>
      <c r="S8" s="78">
        <f>--(AND(S$6&gt;Assumptions!$B$39,S$6&lt;=Assumptions!$B$69))</f>
        <v>1</v>
      </c>
      <c r="T8" s="78">
        <f>--(AND(T$6&gt;Assumptions!$B$39,T$6&lt;=Assumptions!$B$69))</f>
        <v>1</v>
      </c>
      <c r="U8" s="78">
        <f>--(AND(U$6&gt;Assumptions!$B$39,U$6&lt;=Assumptions!$B$69))</f>
        <v>1</v>
      </c>
      <c r="V8" s="78">
        <f>--(AND(V$6&gt;Assumptions!$B$39,V$6&lt;=Assumptions!$B$69))</f>
        <v>1</v>
      </c>
      <c r="W8" s="78">
        <f>--(AND(W$6&gt;Assumptions!$B$39,W$6&lt;=Assumptions!$B$69))</f>
        <v>1</v>
      </c>
      <c r="X8" s="78">
        <f>--(AND(X$6&gt;Assumptions!$B$39,X$6&lt;=Assumptions!$B$69))</f>
        <v>1</v>
      </c>
      <c r="Y8" s="78">
        <f>--(AND(Y$6&gt;Assumptions!$B$39,Y$6&lt;=Assumptions!$B$69))</f>
        <v>0</v>
      </c>
      <c r="Z8" s="78">
        <f>--(AND(Z$6&gt;Assumptions!$B$39,Z$6&lt;=Assumptions!$B$69))</f>
        <v>0</v>
      </c>
      <c r="AA8" s="78">
        <f>--(AND(AA$6&gt;Assumptions!$B$39,AA$6&lt;=Assumptions!$B$69))</f>
        <v>0</v>
      </c>
      <c r="AB8" s="78">
        <f>--(AND(AB$6&gt;Assumptions!$B$39,AB$6&lt;=Assumptions!$B$69))</f>
        <v>0</v>
      </c>
      <c r="AC8" s="78">
        <f>--(AND(AC$6&gt;Assumptions!$B$39,AC$6&lt;=Assumptions!$B$69))</f>
        <v>0</v>
      </c>
      <c r="AD8" s="78">
        <f>--(AND(AD$6&gt;Assumptions!$B$39,AD$6&lt;=Assumptions!$B$69))</f>
        <v>0</v>
      </c>
      <c r="AE8" s="78">
        <f>--(AND(AE$6&gt;Assumptions!$B$39,AE$6&lt;=Assumptions!$B$69))</f>
        <v>0</v>
      </c>
      <c r="AF8" s="78">
        <f>--(AND(AF$6&gt;Assumptions!$B$39,AF$6&lt;=Assumptions!$B$69))</f>
        <v>0</v>
      </c>
      <c r="AG8" s="78">
        <f>--(AND(AG$6&gt;Assumptions!$B$39,AG$6&lt;=Assumptions!$B$69))</f>
        <v>0</v>
      </c>
      <c r="AH8" s="78">
        <f>--(AND(AH$6&gt;Assumptions!$B$39,AH$6&lt;=Assumptions!$B$69))</f>
        <v>0</v>
      </c>
      <c r="AI8" s="78">
        <f>--(AND(AI$6&gt;Assumptions!$B$39,AI$6&lt;=Assumptions!$B$69))</f>
        <v>0</v>
      </c>
      <c r="AJ8" s="78">
        <f>--(AND(AJ$6&gt;Assumptions!$B$39,AJ$6&lt;=Assumptions!$B$69))</f>
        <v>0</v>
      </c>
      <c r="AK8" s="78">
        <f>--(AND(AK$6&gt;Assumptions!$B$39,AK$6&lt;=Assumptions!$B$69))</f>
        <v>0</v>
      </c>
      <c r="AL8" s="78">
        <f>--(AND(AL$6&gt;Assumptions!$B$39,AL$6&lt;=Assumptions!$B$69))</f>
        <v>0</v>
      </c>
      <c r="AM8" s="78">
        <f>--(AND(AM$6&gt;Assumptions!$B$39,AM$6&lt;=Assumptions!$B$69))</f>
        <v>0</v>
      </c>
    </row>
    <row r="9" spans="1:39" ht="18" customHeight="1">
      <c r="A9" s="246" t="s">
        <v>606</v>
      </c>
      <c r="B9" s="246"/>
      <c r="C9" s="78">
        <f ca="1">--(AND(C$6&gt;=Assumptions!$B$41,C$6&lt;=$D$24))</f>
        <v>0</v>
      </c>
      <c r="D9" s="78">
        <f ca="1">--(AND(D$6&gt;=Assumptions!$B$41,D$6&lt;=$D$24))</f>
        <v>0</v>
      </c>
      <c r="E9" s="78">
        <f ca="1">--(AND(E$6&gt;=Assumptions!$B$41,E$6&lt;=$D$24))</f>
        <v>0</v>
      </c>
      <c r="F9" s="78">
        <f ca="1">--(AND(F$6&gt;=Assumptions!$B$41,F$6&lt;=$D$24))</f>
        <v>0</v>
      </c>
      <c r="G9" s="78">
        <f ca="1">--(AND(G$6&gt;=Assumptions!$B$41,G$6&lt;=$D$24))</f>
        <v>0</v>
      </c>
      <c r="H9" s="78">
        <f ca="1">--(AND(H$6&gt;=Assumptions!$B$41,H$6&lt;=$D$24))</f>
        <v>0</v>
      </c>
      <c r="I9" s="78">
        <f ca="1">--(AND(I$6&gt;=Assumptions!$B$41,I$6&lt;=$D$24))</f>
        <v>1</v>
      </c>
      <c r="J9" s="78">
        <f ca="1">--(AND(J$6&gt;=Assumptions!$B$41,J$6&lt;=$D$24))</f>
        <v>1</v>
      </c>
      <c r="K9" s="78">
        <f ca="1">--(AND(K$6&gt;=Assumptions!$B$41,K$6&lt;=$D$24))</f>
        <v>1</v>
      </c>
      <c r="L9" s="78">
        <f ca="1">--(AND(L$6&gt;=Assumptions!$B$41,L$6&lt;=$D$24))</f>
        <v>1</v>
      </c>
      <c r="M9" s="78">
        <f ca="1">--(AND(M$6&gt;=Assumptions!$B$41,M$6&lt;=$D$24))</f>
        <v>1</v>
      </c>
      <c r="N9" s="78">
        <f ca="1">--(AND(N$6&gt;=Assumptions!$B$41,N$6&lt;=$D$24))</f>
        <v>1</v>
      </c>
      <c r="O9" s="78">
        <f ca="1">--(AND(O$6&gt;=Assumptions!$B$41,O$6&lt;=$D$24))</f>
        <v>1</v>
      </c>
      <c r="P9" s="78">
        <f ca="1">--(AND(P$6&gt;=Assumptions!$B$41,P$6&lt;=$D$24))</f>
        <v>1</v>
      </c>
      <c r="Q9" s="78">
        <f ca="1">--(AND(Q$6&gt;=Assumptions!$B$41,Q$6&lt;=$D$24))</f>
        <v>1</v>
      </c>
      <c r="R9" s="78">
        <f ca="1">--(AND(R$6&gt;=Assumptions!$B$41,R$6&lt;=$D$24))</f>
        <v>1</v>
      </c>
      <c r="S9" s="78">
        <f ca="1">--(AND(S$6&gt;=Assumptions!$B$41,S$6&lt;=$D$24))</f>
        <v>1</v>
      </c>
      <c r="T9" s="78">
        <f ca="1">--(AND(T$6&gt;=Assumptions!$B$41,T$6&lt;=$D$24))</f>
        <v>1</v>
      </c>
      <c r="U9" s="78">
        <f ca="1">--(AND(U$6&gt;=Assumptions!$B$41,U$6&lt;=$D$24))</f>
        <v>1</v>
      </c>
      <c r="V9" s="78">
        <f ca="1">--(AND(V$6&gt;=Assumptions!$B$41,V$6&lt;=$D$24))</f>
        <v>1</v>
      </c>
      <c r="W9" s="78">
        <f ca="1">--(AND(W$6&gt;=Assumptions!$B$41,W$6&lt;=$D$24))</f>
        <v>1</v>
      </c>
      <c r="X9" s="78">
        <f ca="1">--(AND(X$6&gt;=Assumptions!$B$41,X$6&lt;=$D$24))</f>
        <v>1</v>
      </c>
      <c r="Y9" s="78">
        <f ca="1">--(AND(Y$6&gt;=Assumptions!$B$41,Y$6&lt;=$D$24))</f>
        <v>1</v>
      </c>
      <c r="Z9" s="78">
        <f ca="1">--(AND(Z$6&gt;=Assumptions!$B$41,Z$6&lt;=$D$24))</f>
        <v>1</v>
      </c>
      <c r="AA9" s="78">
        <f ca="1">--(AND(AA$6&gt;=Assumptions!$B$41,AA$6&lt;=$D$24))</f>
        <v>1</v>
      </c>
      <c r="AB9" s="78">
        <f ca="1">--(AND(AB$6&gt;=Assumptions!$B$41,AB$6&lt;=$D$24))</f>
        <v>1</v>
      </c>
      <c r="AC9" s="78">
        <f ca="1">--(AND(AC$6&gt;=Assumptions!$B$41,AC$6&lt;=$D$24))</f>
        <v>1</v>
      </c>
      <c r="AD9" s="78">
        <f ca="1">--(AND(AD$6&gt;=Assumptions!$B$41,AD$6&lt;=$D$24))</f>
        <v>1</v>
      </c>
      <c r="AE9" s="78">
        <f ca="1">--(AND(AE$6&gt;=Assumptions!$B$41,AE$6&lt;=$D$24))</f>
        <v>1</v>
      </c>
      <c r="AF9" s="78">
        <f ca="1">--(AND(AF$6&gt;=Assumptions!$B$41,AF$6&lt;=$D$24))</f>
        <v>1</v>
      </c>
      <c r="AG9" s="78">
        <f ca="1">--(AND(AG$6&gt;=Assumptions!$B$41,AG$6&lt;=$D$24))</f>
        <v>1</v>
      </c>
      <c r="AH9" s="78">
        <f ca="1">--(AND(AH$6&gt;=Assumptions!$B$41,AH$6&lt;=$D$24))</f>
        <v>1</v>
      </c>
      <c r="AI9" s="78">
        <f ca="1">--(AND(AI$6&gt;=Assumptions!$B$41,AI$6&lt;=$D$24))</f>
        <v>1</v>
      </c>
      <c r="AJ9" s="78">
        <f ca="1">--(AND(AJ$6&gt;=Assumptions!$B$41,AJ$6&lt;=$D$24))</f>
        <v>1</v>
      </c>
      <c r="AK9" s="78">
        <f ca="1">--(AND(AK$6&gt;=Assumptions!$B$41,AK$6&lt;=$D$24))</f>
        <v>1</v>
      </c>
      <c r="AL9" s="78">
        <f ca="1">--(AND(AL$6&gt;=Assumptions!$B$41,AL$6&lt;=$D$24))</f>
        <v>1</v>
      </c>
      <c r="AM9" s="78">
        <f ca="1">--(AND(AM$6&gt;=Assumptions!$B$41,AM$6&lt;=$D$24))</f>
        <v>1</v>
      </c>
    </row>
    <row r="10" spans="1:39" ht="18" customHeight="1">
      <c r="A10" s="246" t="s">
        <v>607</v>
      </c>
      <c r="B10" s="246"/>
      <c r="C10" s="78">
        <f>--(INDEX(Cashflow!$Q$4:$Q$40,MATCH(C$6,Cashflow!$A$4:$A$40,0))&gt;0)</f>
        <v>0</v>
      </c>
      <c r="D10" s="78">
        <f>--(INDEX(Cashflow!$Q$4:$Q$40,MATCH(D$6,Cashflow!$A$4:$A$40,0))&gt;0)</f>
        <v>0</v>
      </c>
      <c r="E10" s="78">
        <f>--(INDEX(Cashflow!$Q$4:$Q$40,MATCH(E$6,Cashflow!$A$4:$A$40,0))&gt;0)</f>
        <v>0</v>
      </c>
      <c r="F10" s="78">
        <f>--(INDEX(Cashflow!$Q$4:$Q$40,MATCH(F$6,Cashflow!$A$4:$A$40,0))&gt;0)</f>
        <v>0</v>
      </c>
      <c r="G10" s="78">
        <f>--(INDEX(Cashflow!$Q$4:$Q$40,MATCH(G$6,Cashflow!$A$4:$A$40,0))&gt;0)</f>
        <v>0</v>
      </c>
      <c r="H10" s="78">
        <f>--(INDEX(Cashflow!$Q$4:$Q$40,MATCH(H$6,Cashflow!$A$4:$A$40,0))&gt;0)</f>
        <v>0</v>
      </c>
      <c r="I10" s="78">
        <f>--(INDEX(Cashflow!$Q$4:$Q$40,MATCH(I$6,Cashflow!$A$4:$A$40,0))&gt;0)</f>
        <v>0</v>
      </c>
      <c r="J10" s="78">
        <f>--(INDEX(Cashflow!$Q$4:$Q$40,MATCH(J$6,Cashflow!$A$4:$A$40,0))&gt;0)</f>
        <v>0</v>
      </c>
      <c r="K10" s="78">
        <f>--(INDEX(Cashflow!$Q$4:$Q$40,MATCH(K$6,Cashflow!$A$4:$A$40,0))&gt;0)</f>
        <v>0</v>
      </c>
      <c r="L10" s="78">
        <f>--(INDEX(Cashflow!$Q$4:$Q$40,MATCH(L$6,Cashflow!$A$4:$A$40,0))&gt;0)</f>
        <v>1</v>
      </c>
      <c r="M10" s="78">
        <f>--(INDEX(Cashflow!$Q$4:$Q$40,MATCH(M$6,Cashflow!$A$4:$A$40,0))&gt;0)</f>
        <v>0</v>
      </c>
      <c r="N10" s="78">
        <f>--(INDEX(Cashflow!$Q$4:$Q$40,MATCH(N$6,Cashflow!$A$4:$A$40,0))&gt;0)</f>
        <v>0</v>
      </c>
      <c r="O10" s="78">
        <f>--(INDEX(Cashflow!$Q$4:$Q$40,MATCH(O$6,Cashflow!$A$4:$A$40,0))&gt;0)</f>
        <v>0</v>
      </c>
      <c r="P10" s="78">
        <f>--(INDEX(Cashflow!$Q$4:$Q$40,MATCH(P$6,Cashflow!$A$4:$A$40,0))&gt;0)</f>
        <v>0</v>
      </c>
      <c r="Q10" s="78">
        <f>--(INDEX(Cashflow!$Q$4:$Q$40,MATCH(Q$6,Cashflow!$A$4:$A$40,0))&gt;0)</f>
        <v>1</v>
      </c>
      <c r="R10" s="78">
        <f>--(INDEX(Cashflow!$Q$4:$Q$40,MATCH(R$6,Cashflow!$A$4:$A$40,0))&gt;0)</f>
        <v>1</v>
      </c>
      <c r="S10" s="78">
        <f>--(INDEX(Cashflow!$Q$4:$Q$40,MATCH(S$6,Cashflow!$A$4:$A$40,0))&gt;0)</f>
        <v>1</v>
      </c>
      <c r="T10" s="78">
        <f>--(INDEX(Cashflow!$Q$4:$Q$40,MATCH(T$6,Cashflow!$A$4:$A$40,0))&gt;0)</f>
        <v>1</v>
      </c>
      <c r="U10" s="78">
        <f>--(INDEX(Cashflow!$Q$4:$Q$40,MATCH(U$6,Cashflow!$A$4:$A$40,0))&gt;0)</f>
        <v>1</v>
      </c>
      <c r="V10" s="78">
        <f>--(INDEX(Cashflow!$Q$4:$Q$40,MATCH(V$6,Cashflow!$A$4:$A$40,0))&gt;0)</f>
        <v>1</v>
      </c>
      <c r="W10" s="78">
        <f>--(INDEX(Cashflow!$Q$4:$Q$40,MATCH(W$6,Cashflow!$A$4:$A$40,0))&gt;0)</f>
        <v>1</v>
      </c>
      <c r="X10" s="78">
        <f>--(INDEX(Cashflow!$Q$4:$Q$40,MATCH(X$6,Cashflow!$A$4:$A$40,0))&gt;0)</f>
        <v>0</v>
      </c>
      <c r="Y10" s="78">
        <f>--(INDEX(Cashflow!$Q$4:$Q$40,MATCH(Y$6,Cashflow!$A$4:$A$40,0))&gt;0)</f>
        <v>0</v>
      </c>
      <c r="Z10" s="78">
        <f>--(INDEX(Cashflow!$Q$4:$Q$40,MATCH(Z$6,Cashflow!$A$4:$A$40,0))&gt;0)</f>
        <v>0</v>
      </c>
      <c r="AA10" s="78">
        <f>--(INDEX(Cashflow!$Q$4:$Q$40,MATCH(AA$6,Cashflow!$A$4:$A$40,0))&gt;0)</f>
        <v>0</v>
      </c>
      <c r="AB10" s="78">
        <f>--(INDEX(Cashflow!$Q$4:$Q$40,MATCH(AB$6,Cashflow!$A$4:$A$40,0))&gt;0)</f>
        <v>0</v>
      </c>
      <c r="AC10" s="78">
        <f>--(INDEX(Cashflow!$Q$4:$Q$40,MATCH(AC$6,Cashflow!$A$4:$A$40,0))&gt;0)</f>
        <v>0</v>
      </c>
      <c r="AD10" s="78">
        <f>--(INDEX(Cashflow!$Q$4:$Q$40,MATCH(AD$6,Cashflow!$A$4:$A$40,0))&gt;0)</f>
        <v>0</v>
      </c>
      <c r="AE10" s="78">
        <f>--(INDEX(Cashflow!$Q$4:$Q$40,MATCH(AE$6,Cashflow!$A$4:$A$40,0))&gt;0)</f>
        <v>0</v>
      </c>
      <c r="AF10" s="78">
        <f>--(INDEX(Cashflow!$Q$4:$Q$40,MATCH(AF$6,Cashflow!$A$4:$A$40,0))&gt;0)</f>
        <v>0</v>
      </c>
      <c r="AG10" s="78">
        <f>--(INDEX(Cashflow!$Q$4:$Q$40,MATCH(AG$6,Cashflow!$A$4:$A$40,0))&gt;0)</f>
        <v>0</v>
      </c>
      <c r="AH10" s="78">
        <f>--(INDEX(Cashflow!$Q$4:$Q$40,MATCH(AH$6,Cashflow!$A$4:$A$40,0))&gt;0)</f>
        <v>0</v>
      </c>
      <c r="AI10" s="78">
        <f>--(INDEX(Cashflow!$Q$4:$Q$40,MATCH(AI$6,Cashflow!$A$4:$A$40,0))&gt;0)</f>
        <v>0</v>
      </c>
      <c r="AJ10" s="78">
        <f>--(INDEX(Cashflow!$Q$4:$Q$40,MATCH(AJ$6,Cashflow!$A$4:$A$40,0))&gt;0)</f>
        <v>0</v>
      </c>
      <c r="AK10" s="78">
        <f>--(INDEX(Cashflow!$Q$4:$Q$40,MATCH(AK$6,Cashflow!$A$4:$A$40,0))&gt;0)</f>
        <v>0</v>
      </c>
      <c r="AL10" s="78">
        <f>--(INDEX(Cashflow!$Q$4:$Q$40,MATCH(AL$6,Cashflow!$A$4:$A$40,0))&gt;0)</f>
        <v>0</v>
      </c>
      <c r="AM10" s="78">
        <f>--(INDEX(Cashflow!$Q$4:$Q$40,MATCH(AM$6,Cashflow!$A$4:$A$40,0))&gt;0)</f>
        <v>0</v>
      </c>
    </row>
    <row r="11" spans="1:39" ht="18" customHeight="1">
      <c r="A11" s="246" t="s">
        <v>608</v>
      </c>
      <c r="B11" s="246"/>
      <c r="C11" s="78">
        <f>--(-INDEX(Cashflow!$S$4:$S$40,MATCH(C$6,Cashflow!$A$4:$A$40,0))&gt;0)</f>
        <v>1</v>
      </c>
      <c r="D11" s="78">
        <f>--(-INDEX(Cashflow!$S$4:$S$40,MATCH(D$6,Cashflow!$A$4:$A$40,0))&gt;0)</f>
        <v>1</v>
      </c>
      <c r="E11" s="78">
        <f>--(-INDEX(Cashflow!$S$4:$S$40,MATCH(E$6,Cashflow!$A$4:$A$40,0))&gt;0)</f>
        <v>1</v>
      </c>
      <c r="F11" s="78">
        <f>--(-INDEX(Cashflow!$S$4:$S$40,MATCH(F$6,Cashflow!$A$4:$A$40,0))&gt;0)</f>
        <v>1</v>
      </c>
      <c r="G11" s="78">
        <f>--(-INDEX(Cashflow!$S$4:$S$40,MATCH(G$6,Cashflow!$A$4:$A$40,0))&gt;0)</f>
        <v>1</v>
      </c>
      <c r="H11" s="78">
        <f>--(-INDEX(Cashflow!$S$4:$S$40,MATCH(H$6,Cashflow!$A$4:$A$40,0))&gt;0)</f>
        <v>1</v>
      </c>
      <c r="I11" s="78">
        <f>--(-INDEX(Cashflow!$S$4:$S$40,MATCH(I$6,Cashflow!$A$4:$A$40,0))&gt;0)</f>
        <v>1</v>
      </c>
      <c r="J11" s="78">
        <f>--(-INDEX(Cashflow!$S$4:$S$40,MATCH(J$6,Cashflow!$A$4:$A$40,0))&gt;0)</f>
        <v>1</v>
      </c>
      <c r="K11" s="78">
        <f>--(-INDEX(Cashflow!$S$4:$S$40,MATCH(K$6,Cashflow!$A$4:$A$40,0))&gt;0)</f>
        <v>1</v>
      </c>
      <c r="L11" s="78">
        <f>--(-INDEX(Cashflow!$S$4:$S$40,MATCH(L$6,Cashflow!$A$4:$A$40,0))&gt;0)</f>
        <v>1</v>
      </c>
      <c r="M11" s="78">
        <f>--(-INDEX(Cashflow!$S$4:$S$40,MATCH(M$6,Cashflow!$A$4:$A$40,0))&gt;0)</f>
        <v>1</v>
      </c>
      <c r="N11" s="78">
        <f>--(-INDEX(Cashflow!$S$4:$S$40,MATCH(N$6,Cashflow!$A$4:$A$40,0))&gt;0)</f>
        <v>1</v>
      </c>
      <c r="O11" s="78">
        <f>--(-INDEX(Cashflow!$S$4:$S$40,MATCH(O$6,Cashflow!$A$4:$A$40,0))&gt;0)</f>
        <v>1</v>
      </c>
      <c r="P11" s="78">
        <f>--(-INDEX(Cashflow!$S$4:$S$40,MATCH(P$6,Cashflow!$A$4:$A$40,0))&gt;0)</f>
        <v>1</v>
      </c>
      <c r="Q11" s="78">
        <f>--(-INDEX(Cashflow!$S$4:$S$40,MATCH(Q$6,Cashflow!$A$4:$A$40,0))&gt;0)</f>
        <v>1</v>
      </c>
      <c r="R11" s="78">
        <f>--(-INDEX(Cashflow!$S$4:$S$40,MATCH(R$6,Cashflow!$A$4:$A$40,0))&gt;0)</f>
        <v>1</v>
      </c>
      <c r="S11" s="78">
        <f>--(-INDEX(Cashflow!$S$4:$S$40,MATCH(S$6,Cashflow!$A$4:$A$40,0))&gt;0)</f>
        <v>1</v>
      </c>
      <c r="T11" s="78">
        <f>--(-INDEX(Cashflow!$S$4:$S$40,MATCH(T$6,Cashflow!$A$4:$A$40,0))&gt;0)</f>
        <v>1</v>
      </c>
      <c r="U11" s="78">
        <f>--(-INDEX(Cashflow!$S$4:$S$40,MATCH(U$6,Cashflow!$A$4:$A$40,0))&gt;0)</f>
        <v>1</v>
      </c>
      <c r="V11" s="78">
        <f>--(-INDEX(Cashflow!$S$4:$S$40,MATCH(V$6,Cashflow!$A$4:$A$40,0))&gt;0)</f>
        <v>1</v>
      </c>
      <c r="W11" s="78">
        <f>--(-INDEX(Cashflow!$S$4:$S$40,MATCH(W$6,Cashflow!$A$4:$A$40,0))&gt;0)</f>
        <v>1</v>
      </c>
      <c r="X11" s="78">
        <f>--(-INDEX(Cashflow!$S$4:$S$40,MATCH(X$6,Cashflow!$A$4:$A$40,0))&gt;0)</f>
        <v>0</v>
      </c>
      <c r="Y11" s="78">
        <f>--(-INDEX(Cashflow!$S$4:$S$40,MATCH(Y$6,Cashflow!$A$4:$A$40,0))&gt;0)</f>
        <v>0</v>
      </c>
      <c r="Z11" s="78">
        <f>--(-INDEX(Cashflow!$S$4:$S$40,MATCH(Z$6,Cashflow!$A$4:$A$40,0))&gt;0)</f>
        <v>0</v>
      </c>
      <c r="AA11" s="78">
        <f>--(-INDEX(Cashflow!$S$4:$S$40,MATCH(AA$6,Cashflow!$A$4:$A$40,0))&gt;0)</f>
        <v>0</v>
      </c>
      <c r="AB11" s="78">
        <f>--(-INDEX(Cashflow!$S$4:$S$40,MATCH(AB$6,Cashflow!$A$4:$A$40,0))&gt;0)</f>
        <v>0</v>
      </c>
      <c r="AC11" s="78">
        <f>--(-INDEX(Cashflow!$S$4:$S$40,MATCH(AC$6,Cashflow!$A$4:$A$40,0))&gt;0)</f>
        <v>0</v>
      </c>
      <c r="AD11" s="78">
        <f>--(-INDEX(Cashflow!$S$4:$S$40,MATCH(AD$6,Cashflow!$A$4:$A$40,0))&gt;0)</f>
        <v>0</v>
      </c>
      <c r="AE11" s="78">
        <f>--(-INDEX(Cashflow!$S$4:$S$40,MATCH(AE$6,Cashflow!$A$4:$A$40,0))&gt;0)</f>
        <v>0</v>
      </c>
      <c r="AF11" s="78">
        <f>--(-INDEX(Cashflow!$S$4:$S$40,MATCH(AF$6,Cashflow!$A$4:$A$40,0))&gt;0)</f>
        <v>0</v>
      </c>
      <c r="AG11" s="78">
        <f>--(-INDEX(Cashflow!$S$4:$S$40,MATCH(AG$6,Cashflow!$A$4:$A$40,0))&gt;0)</f>
        <v>0</v>
      </c>
      <c r="AH11" s="78">
        <f>--(-INDEX(Cashflow!$S$4:$S$40,MATCH(AH$6,Cashflow!$A$4:$A$40,0))&gt;0)</f>
        <v>0</v>
      </c>
      <c r="AI11" s="78">
        <f>--(-INDEX(Cashflow!$S$4:$S$40,MATCH(AI$6,Cashflow!$A$4:$A$40,0))&gt;0)</f>
        <v>0</v>
      </c>
      <c r="AJ11" s="78">
        <f>--(-INDEX(Cashflow!$S$4:$S$40,MATCH(AJ$6,Cashflow!$A$4:$A$40,0))&gt;0)</f>
        <v>0</v>
      </c>
      <c r="AK11" s="78">
        <f>--(-INDEX(Cashflow!$S$4:$S$40,MATCH(AK$6,Cashflow!$A$4:$A$40,0))&gt;0)</f>
        <v>0</v>
      </c>
      <c r="AL11" s="78">
        <f>--(-INDEX(Cashflow!$S$4:$S$40,MATCH(AL$6,Cashflow!$A$4:$A$40,0))&gt;0)</f>
        <v>0</v>
      </c>
      <c r="AM11" s="78">
        <f>--(-INDEX(Cashflow!$S$4:$S$40,MATCH(AM$6,Cashflow!$A$4:$A$40,0))&gt;0)</f>
        <v>0</v>
      </c>
    </row>
    <row r="13" spans="1:39" ht="23.05" customHeight="1">
      <c r="A13" s="230" t="s">
        <v>609</v>
      </c>
      <c r="B13" s="230"/>
      <c r="C13" s="230"/>
      <c r="D13" s="230"/>
      <c r="E13" s="230"/>
      <c r="F13" s="230"/>
      <c r="G13" s="230"/>
      <c r="H13" s="230"/>
      <c r="I13" s="230"/>
      <c r="J13" s="230"/>
      <c r="K13" s="230"/>
      <c r="L13" s="230"/>
      <c r="M13" s="230"/>
      <c r="O13" s="230" t="s">
        <v>610</v>
      </c>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row>
    <row r="14" spans="1:39" ht="22" customHeight="1">
      <c r="A14" s="245" t="s">
        <v>611</v>
      </c>
      <c r="B14" s="245"/>
      <c r="C14" s="245"/>
      <c r="D14" s="245" t="s">
        <v>32</v>
      </c>
      <c r="E14" s="245"/>
      <c r="F14" s="245" t="s">
        <v>612</v>
      </c>
      <c r="G14" s="245"/>
      <c r="H14" s="245"/>
      <c r="I14" s="245"/>
      <c r="J14" s="245"/>
      <c r="K14" s="245"/>
      <c r="L14" s="245"/>
      <c r="M14" s="245"/>
      <c r="O14" s="245" t="s">
        <v>613</v>
      </c>
      <c r="P14" s="245"/>
      <c r="Q14" s="245"/>
      <c r="R14" s="245"/>
      <c r="S14" s="245"/>
      <c r="T14" s="245"/>
      <c r="U14" s="245" t="s">
        <v>614</v>
      </c>
      <c r="V14" s="245"/>
      <c r="W14" s="245"/>
      <c r="X14" s="245"/>
      <c r="Y14" s="245" t="s">
        <v>615</v>
      </c>
      <c r="Z14" s="245"/>
      <c r="AA14" s="245"/>
      <c r="AB14" s="245"/>
      <c r="AC14" s="245"/>
      <c r="AD14" s="245"/>
      <c r="AE14" s="245"/>
      <c r="AF14" s="245"/>
      <c r="AG14" s="245"/>
      <c r="AH14" s="245"/>
      <c r="AI14" s="245"/>
      <c r="AJ14" s="245"/>
      <c r="AK14" s="245"/>
      <c r="AL14" s="245"/>
      <c r="AM14" s="245"/>
    </row>
    <row r="15" spans="1:39" ht="25" customHeight="1">
      <c r="A15" s="246" t="s">
        <v>616</v>
      </c>
      <c r="B15" s="148"/>
      <c r="C15" s="148"/>
      <c r="D15" s="247" t="str">
        <f ca="1">IFERROR(_xludf.AGGREGATE(15,6,Cashflow!$A$4:$A$40/(Cashflow!$L$4:$L$40&gt;0),1),"")</f>
        <v/>
      </c>
      <c r="E15" s="169"/>
      <c r="F15" s="232" t="s">
        <v>617</v>
      </c>
      <c r="G15" s="194"/>
      <c r="H15" s="194"/>
      <c r="I15" s="194"/>
      <c r="J15" s="194"/>
      <c r="K15" s="194"/>
      <c r="L15" s="194"/>
      <c r="M15" s="194"/>
      <c r="O15" s="246" t="s">
        <v>522</v>
      </c>
      <c r="P15" s="148"/>
      <c r="Q15" s="148"/>
      <c r="R15" s="148"/>
      <c r="S15" s="148"/>
      <c r="T15" s="148"/>
      <c r="U15" s="248">
        <f>Assumptions!B78</f>
        <v>0.3</v>
      </c>
      <c r="V15" s="157"/>
      <c r="W15" s="157"/>
      <c r="X15" s="157"/>
      <c r="Y15" s="232" t="str">
        <f>ROUNDUP(Assumptions!B54*Assumptions!B78,0)&amp;" units required before debt draw"</f>
        <v>29 units required before debt draw</v>
      </c>
      <c r="Z15" s="194"/>
      <c r="AA15" s="194"/>
      <c r="AB15" s="194"/>
      <c r="AC15" s="194"/>
      <c r="AD15" s="194"/>
      <c r="AE15" s="194"/>
      <c r="AF15" s="194"/>
      <c r="AG15" s="194"/>
      <c r="AH15" s="194"/>
      <c r="AI15" s="194"/>
      <c r="AJ15" s="194"/>
      <c r="AK15" s="194"/>
      <c r="AL15" s="194"/>
      <c r="AM15" s="194"/>
    </row>
    <row r="16" spans="1:39" ht="25" customHeight="1">
      <c r="A16" s="246" t="s">
        <v>618</v>
      </c>
      <c r="B16" s="148"/>
      <c r="C16" s="148"/>
      <c r="D16" s="247">
        <f>Assumptions!B39</f>
        <v>3</v>
      </c>
      <c r="E16" s="169"/>
      <c r="F16" s="232" t="s">
        <v>619</v>
      </c>
      <c r="G16" s="194"/>
      <c r="H16" s="194"/>
      <c r="I16" s="194"/>
      <c r="J16" s="194"/>
      <c r="K16" s="194"/>
      <c r="L16" s="194"/>
      <c r="M16" s="194"/>
      <c r="O16" s="246" t="s">
        <v>620</v>
      </c>
      <c r="P16" s="148"/>
      <c r="Q16" s="148"/>
      <c r="R16" s="148"/>
      <c r="S16" s="148"/>
      <c r="T16" s="148"/>
      <c r="U16" s="248">
        <f>'Lender &amp; Risk'!B7</f>
        <v>1</v>
      </c>
      <c r="V16" s="157"/>
      <c r="W16" s="157"/>
      <c r="X16" s="157"/>
      <c r="Y16" s="232" t="str">
        <f>IF(U16&gt;=U15,"Covenant covered at completion","Covenant shortfall at completion")</f>
        <v>Covenant covered at completion</v>
      </c>
      <c r="Z16" s="194"/>
      <c r="AA16" s="194"/>
      <c r="AB16" s="194"/>
      <c r="AC16" s="194"/>
      <c r="AD16" s="194"/>
      <c r="AE16" s="194"/>
      <c r="AF16" s="194"/>
      <c r="AG16" s="194"/>
      <c r="AH16" s="194"/>
      <c r="AI16" s="194"/>
      <c r="AJ16" s="194"/>
      <c r="AK16" s="194"/>
      <c r="AL16" s="194"/>
      <c r="AM16" s="194"/>
    </row>
    <row r="17" spans="1:39" ht="25" customHeight="1">
      <c r="A17" s="246" t="s">
        <v>621</v>
      </c>
      <c r="B17" s="148"/>
      <c r="C17" s="148"/>
      <c r="D17" s="247">
        <f>Assumptions!B41</f>
        <v>6</v>
      </c>
      <c r="E17" s="169"/>
      <c r="F17" s="232" t="s">
        <v>622</v>
      </c>
      <c r="G17" s="194"/>
      <c r="H17" s="194"/>
      <c r="I17" s="194"/>
      <c r="J17" s="194"/>
      <c r="K17" s="194"/>
      <c r="L17" s="194"/>
      <c r="M17" s="194"/>
      <c r="O17" s="246" t="s">
        <v>623</v>
      </c>
      <c r="P17" s="148"/>
      <c r="Q17" s="148"/>
      <c r="R17" s="148"/>
      <c r="S17" s="148"/>
      <c r="T17" s="148"/>
      <c r="U17" s="249">
        <f>U16-U15</f>
        <v>0.7</v>
      </c>
      <c r="V17" s="175"/>
      <c r="W17" s="175"/>
      <c r="X17" s="175"/>
      <c r="Y17" s="232" t="str">
        <f>IF(U17&gt;=0,"Headroom above lender threshold","Below lender threshold")</f>
        <v>Headroom above lender threshold</v>
      </c>
      <c r="Z17" s="194"/>
      <c r="AA17" s="194"/>
      <c r="AB17" s="194"/>
      <c r="AC17" s="194"/>
      <c r="AD17" s="194"/>
      <c r="AE17" s="194"/>
      <c r="AF17" s="194"/>
      <c r="AG17" s="194"/>
      <c r="AH17" s="194"/>
      <c r="AI17" s="194"/>
      <c r="AJ17" s="194"/>
      <c r="AK17" s="194"/>
      <c r="AL17" s="194"/>
      <c r="AM17" s="194"/>
    </row>
    <row r="18" spans="1:39" ht="25" customHeight="1">
      <c r="A18" s="246" t="s">
        <v>624</v>
      </c>
      <c r="B18" s="148"/>
      <c r="C18" s="148"/>
      <c r="D18" s="247" t="str">
        <f ca="1">IFERROR(_xludf.AGGREGATE(15,6,Cashflow!$A$4:$A$40/(Cashflow!$H$4:$H$40&gt;=ROUNDUP(Assumptions!$B$54*Assumptions!$B$78,0)),1),"")</f>
        <v/>
      </c>
      <c r="E18" s="169"/>
      <c r="F18" s="232" t="s">
        <v>625</v>
      </c>
      <c r="G18" s="194"/>
      <c r="H18" s="194"/>
      <c r="I18" s="194"/>
      <c r="J18" s="194"/>
      <c r="K18" s="194"/>
      <c r="L18" s="194"/>
      <c r="M18" s="194"/>
      <c r="O18" s="246" t="s">
        <v>278</v>
      </c>
      <c r="P18" s="148"/>
      <c r="Q18" s="148"/>
      <c r="R18" s="148"/>
      <c r="S18" s="148"/>
      <c r="T18" s="148"/>
      <c r="U18" s="248">
        <f>'Lender &amp; Risk'!B6</f>
        <v>0.13622572906679536</v>
      </c>
      <c r="V18" s="157"/>
      <c r="W18" s="157"/>
      <c r="X18" s="157"/>
      <c r="Y18" s="232" t="str">
        <f>IF(U18&lt;=Assumptions!B35,"Within LTC cap","LTC cap breached")</f>
        <v>Within LTC cap</v>
      </c>
      <c r="Z18" s="194"/>
      <c r="AA18" s="194"/>
      <c r="AB18" s="194"/>
      <c r="AC18" s="194"/>
      <c r="AD18" s="194"/>
      <c r="AE18" s="194"/>
      <c r="AF18" s="194"/>
      <c r="AG18" s="194"/>
      <c r="AH18" s="194"/>
      <c r="AI18" s="194"/>
      <c r="AJ18" s="194"/>
      <c r="AK18" s="194"/>
      <c r="AL18" s="194"/>
      <c r="AM18" s="194"/>
    </row>
    <row r="19" spans="1:39" ht="25" customHeight="1">
      <c r="A19" s="246" t="s">
        <v>626</v>
      </c>
      <c r="B19" s="148"/>
      <c r="C19" s="148"/>
      <c r="D19" s="247" t="str">
        <f ca="1">IFERROR(_xludf.AGGREGATE(15,6,Cashflow!$A$4:$A$40/(Cashflow!$M$4:$M$40&gt;0),1),"")</f>
        <v/>
      </c>
      <c r="E19" s="169"/>
      <c r="F19" s="232" t="s">
        <v>627</v>
      </c>
      <c r="G19" s="194"/>
      <c r="H19" s="194"/>
      <c r="I19" s="194"/>
      <c r="J19" s="194"/>
      <c r="K19" s="194"/>
      <c r="L19" s="194"/>
      <c r="M19" s="194"/>
      <c r="O19" s="246" t="s">
        <v>628</v>
      </c>
      <c r="P19" s="148"/>
      <c r="Q19" s="148"/>
      <c r="R19" s="148"/>
      <c r="S19" s="148"/>
      <c r="T19" s="148"/>
      <c r="U19" s="249">
        <f>Assumptions!B35-U18</f>
        <v>0.46377427093320461</v>
      </c>
      <c r="V19" s="175"/>
      <c r="W19" s="175"/>
      <c r="X19" s="175"/>
      <c r="Y19" s="232" t="str">
        <f>IF(U19&gt;=0,"Capacity remains under LTC cap","No LTC capacity remains")</f>
        <v>Capacity remains under LTC cap</v>
      </c>
      <c r="Z19" s="194"/>
      <c r="AA19" s="194"/>
      <c r="AB19" s="194"/>
      <c r="AC19" s="194"/>
      <c r="AD19" s="194"/>
      <c r="AE19" s="194"/>
      <c r="AF19" s="194"/>
      <c r="AG19" s="194"/>
      <c r="AH19" s="194"/>
      <c r="AI19" s="194"/>
      <c r="AJ19" s="194"/>
      <c r="AK19" s="194"/>
      <c r="AL19" s="194"/>
      <c r="AM19" s="194"/>
    </row>
    <row r="20" spans="1:39" ht="25" customHeight="1">
      <c r="A20" s="246" t="s">
        <v>629</v>
      </c>
      <c r="B20" s="148"/>
      <c r="C20" s="148"/>
      <c r="D20" s="247">
        <f>INDEX(Cashflow!$A$4:$A$40,MATCH(MIN(Cashflow!$S$4:$S$40),Cashflow!$S$4:$S$40,0))</f>
        <v>9</v>
      </c>
      <c r="E20" s="169"/>
      <c r="F20" s="232" t="s">
        <v>630</v>
      </c>
      <c r="G20" s="194"/>
      <c r="H20" s="194"/>
      <c r="I20" s="194"/>
      <c r="J20" s="194"/>
      <c r="K20" s="194"/>
      <c r="L20" s="194"/>
      <c r="M20" s="194"/>
      <c r="O20" s="246" t="s">
        <v>277</v>
      </c>
      <c r="P20" s="148"/>
      <c r="Q20" s="148"/>
      <c r="R20" s="148"/>
      <c r="S20" s="148"/>
      <c r="T20" s="148"/>
      <c r="U20" s="248">
        <f>'Lender &amp; Risk'!B5</f>
        <v>0.11457486311033972</v>
      </c>
      <c r="V20" s="157"/>
      <c r="W20" s="157"/>
      <c r="X20" s="157"/>
      <c r="Y20" s="232" t="str">
        <f>IF(U20&lt;=Assumptions!B79,"Within loan-to-GDV cap","Loan-to-GDV cap breached")</f>
        <v>Within loan-to-GDV cap</v>
      </c>
      <c r="Z20" s="194"/>
      <c r="AA20" s="194"/>
      <c r="AB20" s="194"/>
      <c r="AC20" s="194"/>
      <c r="AD20" s="194"/>
      <c r="AE20" s="194"/>
      <c r="AF20" s="194"/>
      <c r="AG20" s="194"/>
      <c r="AH20" s="194"/>
      <c r="AI20" s="194"/>
      <c r="AJ20" s="194"/>
      <c r="AK20" s="194"/>
      <c r="AL20" s="194"/>
      <c r="AM20" s="194"/>
    </row>
    <row r="21" spans="1:39" ht="25" customHeight="1">
      <c r="A21" s="246" t="s">
        <v>631</v>
      </c>
      <c r="B21" s="148"/>
      <c r="C21" s="148"/>
      <c r="D21" s="247">
        <f>INDEX(Cashflow!$A$4:$A$40,MATCH(MAX(Cashflow!$Q$4:$Q$40),Cashflow!$Q$4:$Q$40,0))</f>
        <v>20</v>
      </c>
      <c r="E21" s="169"/>
      <c r="F21" s="232" t="s">
        <v>632</v>
      </c>
      <c r="G21" s="194"/>
      <c r="H21" s="194"/>
      <c r="I21" s="194"/>
      <c r="J21" s="194"/>
      <c r="K21" s="194"/>
      <c r="L21" s="194"/>
      <c r="M21" s="194"/>
      <c r="O21" s="246" t="s">
        <v>633</v>
      </c>
      <c r="P21" s="148"/>
      <c r="Q21" s="148"/>
      <c r="R21" s="148"/>
      <c r="S21" s="148"/>
      <c r="T21" s="148"/>
      <c r="U21" s="249">
        <f>Assumptions!B79-U20</f>
        <v>0.53542513688966031</v>
      </c>
      <c r="V21" s="175"/>
      <c r="W21" s="175"/>
      <c r="X21" s="175"/>
      <c r="Y21" s="232" t="str">
        <f>IF(U21&gt;=0,"Capacity remains under GDV cap","No GDV capacity remains")</f>
        <v>Capacity remains under GDV cap</v>
      </c>
      <c r="Z21" s="194"/>
      <c r="AA21" s="194"/>
      <c r="AB21" s="194"/>
      <c r="AC21" s="194"/>
      <c r="AD21" s="194"/>
      <c r="AE21" s="194"/>
      <c r="AF21" s="194"/>
      <c r="AG21" s="194"/>
      <c r="AH21" s="194"/>
      <c r="AI21" s="194"/>
      <c r="AJ21" s="194"/>
      <c r="AK21" s="194"/>
      <c r="AL21" s="194"/>
      <c r="AM21" s="194"/>
    </row>
    <row r="22" spans="1:39" ht="25" customHeight="1">
      <c r="A22" s="246" t="s">
        <v>634</v>
      </c>
      <c r="B22" s="148"/>
      <c r="C22" s="148"/>
      <c r="D22" s="247">
        <f>Assumptions!B69</f>
        <v>21</v>
      </c>
      <c r="E22" s="169"/>
      <c r="F22" s="232" t="s">
        <v>635</v>
      </c>
      <c r="G22" s="194"/>
      <c r="H22" s="194"/>
      <c r="I22" s="194"/>
      <c r="J22" s="194"/>
      <c r="K22" s="194"/>
      <c r="L22" s="194"/>
      <c r="M22" s="194"/>
      <c r="O22" s="246" t="s">
        <v>636</v>
      </c>
      <c r="P22" s="148"/>
      <c r="Q22" s="148"/>
      <c r="R22" s="148"/>
      <c r="S22" s="148"/>
      <c r="T22" s="148"/>
      <c r="U22" s="250">
        <f>'Returns &amp; Waterfall'!B15</f>
        <v>277444576.59878397</v>
      </c>
      <c r="V22" s="156"/>
      <c r="W22" s="156"/>
      <c r="X22" s="156"/>
      <c r="Y22" s="232" t="str">
        <f>"Peaks in model month "&amp;D20</f>
        <v>Peaks in model month 9</v>
      </c>
      <c r="Z22" s="194"/>
      <c r="AA22" s="194"/>
      <c r="AB22" s="194"/>
      <c r="AC22" s="194"/>
      <c r="AD22" s="194"/>
      <c r="AE22" s="194"/>
      <c r="AF22" s="194"/>
      <c r="AG22" s="194"/>
      <c r="AH22" s="194"/>
      <c r="AI22" s="194"/>
      <c r="AJ22" s="194"/>
      <c r="AK22" s="194"/>
      <c r="AL22" s="194"/>
      <c r="AM22" s="194"/>
    </row>
    <row r="23" spans="1:39" ht="25" customHeight="1">
      <c r="A23" s="246" t="s">
        <v>637</v>
      </c>
      <c r="B23" s="148"/>
      <c r="C23" s="148"/>
      <c r="D23" s="247">
        <f>IFERROR(MIN(MAX(Cashflow!$A$4:$A$40),LOOKUP(2,1/(Cashflow!$Q$4:$Q$40&gt;0),Cashflow!$A$4:$A$40)+1),"")</f>
        <v>21</v>
      </c>
      <c r="E23" s="169"/>
      <c r="F23" s="232" t="s">
        <v>638</v>
      </c>
      <c r="G23" s="194"/>
      <c r="H23" s="194"/>
      <c r="I23" s="194"/>
      <c r="J23" s="194"/>
      <c r="K23" s="194"/>
      <c r="L23" s="194"/>
      <c r="M23" s="194"/>
      <c r="O23" s="246" t="s">
        <v>639</v>
      </c>
      <c r="P23" s="148"/>
      <c r="Q23" s="148"/>
      <c r="R23" s="148"/>
      <c r="S23" s="148"/>
      <c r="T23" s="148"/>
      <c r="U23" s="250">
        <f>'Returns &amp; Waterfall'!B7</f>
        <v>128246754.30367941</v>
      </c>
      <c r="V23" s="156"/>
      <c r="W23" s="156"/>
      <c r="X23" s="156"/>
      <c r="Y23" s="232" t="str">
        <f>"Peaks in model month "&amp;D21</f>
        <v>Peaks in model month 20</v>
      </c>
      <c r="Z23" s="194"/>
      <c r="AA23" s="194"/>
      <c r="AB23" s="194"/>
      <c r="AC23" s="194"/>
      <c r="AD23" s="194"/>
      <c r="AE23" s="194"/>
      <c r="AF23" s="194"/>
      <c r="AG23" s="194"/>
      <c r="AH23" s="194"/>
      <c r="AI23" s="194"/>
      <c r="AJ23" s="194"/>
      <c r="AK23" s="194"/>
      <c r="AL23" s="194"/>
      <c r="AM23" s="194"/>
    </row>
    <row r="24" spans="1:39" ht="25" customHeight="1">
      <c r="A24" s="246" t="s">
        <v>640</v>
      </c>
      <c r="B24" s="148"/>
      <c r="C24" s="148"/>
      <c r="D24" s="247" t="str">
        <f ca="1">IFERROR(_xludf.AGGREGATE(15,6,Cashflow!$A$4:$A$40/(Cashflow!$H$4:$H$40&gt;=Assumptions!$B$54),1),"")</f>
        <v/>
      </c>
      <c r="E24" s="169"/>
      <c r="F24" s="232" t="s">
        <v>641</v>
      </c>
      <c r="G24" s="194"/>
      <c r="H24" s="194"/>
      <c r="I24" s="194"/>
      <c r="J24" s="194"/>
      <c r="K24" s="194"/>
      <c r="L24" s="194"/>
      <c r="M24" s="194"/>
      <c r="O24" s="246" t="s">
        <v>642</v>
      </c>
      <c r="P24" s="148"/>
      <c r="Q24" s="148"/>
      <c r="R24" s="148"/>
      <c r="S24" s="148"/>
      <c r="T24" s="148"/>
      <c r="U24" s="250">
        <f>'Returns &amp; Waterfall'!B8</f>
        <v>1923701.314555191</v>
      </c>
      <c r="V24" s="156"/>
      <c r="W24" s="156"/>
      <c r="X24" s="156"/>
      <c r="Y24" s="232" t="str">
        <f>"Interest and financing cost in the active case"</f>
        <v>Interest and financing cost in the active case</v>
      </c>
      <c r="Z24" s="194"/>
      <c r="AA24" s="194"/>
      <c r="AB24" s="194"/>
      <c r="AC24" s="194"/>
      <c r="AD24" s="194"/>
      <c r="AE24" s="194"/>
      <c r="AF24" s="194"/>
      <c r="AG24" s="194"/>
      <c r="AH24" s="194"/>
      <c r="AI24" s="194"/>
      <c r="AJ24" s="194"/>
      <c r="AK24" s="194"/>
      <c r="AL24" s="194"/>
      <c r="AM24" s="194"/>
    </row>
    <row r="25" spans="1:39" ht="25" customHeight="1">
      <c r="A25" s="246" t="s">
        <v>643</v>
      </c>
      <c r="B25" s="148"/>
      <c r="C25" s="148"/>
      <c r="D25" s="247">
        <f>IFERROR(LOOKUP(2,1/(ABS(Cashflow!$R$4:$R$40)&gt;0),Cashflow!$A$4:$A$40),"")</f>
        <v>21</v>
      </c>
      <c r="E25" s="169"/>
      <c r="F25" s="232" t="s">
        <v>644</v>
      </c>
      <c r="G25" s="194"/>
      <c r="H25" s="194"/>
      <c r="I25" s="194"/>
      <c r="J25" s="194"/>
      <c r="K25" s="194"/>
      <c r="L25" s="194"/>
      <c r="M25" s="194"/>
      <c r="O25" s="246" t="s">
        <v>645</v>
      </c>
      <c r="P25" s="148"/>
      <c r="Q25" s="148"/>
      <c r="R25" s="148"/>
      <c r="S25" s="148"/>
      <c r="T25" s="148"/>
      <c r="U25" s="251" t="str">
        <f ca="1">IF(D19&lt;&gt;"","UNLOCKED","NOT REACHED")</f>
        <v>NOT REACHED</v>
      </c>
      <c r="V25" s="136"/>
      <c r="W25" s="136"/>
      <c r="X25" s="136"/>
      <c r="Y25" s="232" t="str">
        <f ca="1">IF(U25="UNLOCKED","Pre-sale test produces a debt draw","Equity must continue funding the project")</f>
        <v>Equity must continue funding the project</v>
      </c>
      <c r="Z25" s="194"/>
      <c r="AA25" s="194"/>
      <c r="AB25" s="194"/>
      <c r="AC25" s="194"/>
      <c r="AD25" s="194"/>
      <c r="AE25" s="194"/>
      <c r="AF25" s="194"/>
      <c r="AG25" s="194"/>
      <c r="AH25" s="194"/>
      <c r="AI25" s="194"/>
      <c r="AJ25" s="194"/>
      <c r="AK25" s="194"/>
      <c r="AL25" s="194"/>
      <c r="AM25" s="194"/>
    </row>
    <row r="27" spans="1:39" ht="23.05" customHeight="1">
      <c r="A27" s="230" t="s">
        <v>646</v>
      </c>
      <c r="B27" s="230"/>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row>
    <row r="28" spans="1:39" ht="20.05" customHeight="1">
      <c r="A28" s="246" t="s">
        <v>647</v>
      </c>
      <c r="B28" s="246"/>
      <c r="C28" s="129">
        <v>0</v>
      </c>
      <c r="D28" s="129">
        <v>1</v>
      </c>
      <c r="E28" s="129">
        <v>2</v>
      </c>
      <c r="F28" s="129">
        <v>3</v>
      </c>
      <c r="G28" s="129">
        <v>4</v>
      </c>
      <c r="H28" s="129">
        <v>5</v>
      </c>
      <c r="I28" s="129">
        <v>6</v>
      </c>
      <c r="J28" s="129">
        <v>7</v>
      </c>
      <c r="K28" s="129">
        <v>8</v>
      </c>
      <c r="L28" s="129">
        <v>9</v>
      </c>
      <c r="M28" s="129">
        <v>10</v>
      </c>
      <c r="N28" s="129">
        <v>11</v>
      </c>
      <c r="O28" s="129">
        <v>12</v>
      </c>
      <c r="P28" s="129">
        <v>13</v>
      </c>
      <c r="Q28" s="129">
        <v>14</v>
      </c>
      <c r="R28" s="129">
        <v>15</v>
      </c>
      <c r="S28" s="129">
        <v>16</v>
      </c>
      <c r="T28" s="129">
        <v>17</v>
      </c>
      <c r="U28" s="129">
        <v>18</v>
      </c>
      <c r="V28" s="129">
        <v>19</v>
      </c>
      <c r="W28" s="129">
        <v>20</v>
      </c>
      <c r="X28" s="129">
        <v>21</v>
      </c>
      <c r="Y28" s="129">
        <v>22</v>
      </c>
      <c r="Z28" s="129">
        <v>23</v>
      </c>
      <c r="AA28" s="129">
        <v>24</v>
      </c>
      <c r="AB28" s="129">
        <v>25</v>
      </c>
      <c r="AC28" s="129">
        <v>26</v>
      </c>
      <c r="AD28" s="129">
        <v>27</v>
      </c>
      <c r="AE28" s="129">
        <v>28</v>
      </c>
      <c r="AF28" s="129">
        <v>29</v>
      </c>
      <c r="AG28" s="129">
        <v>30</v>
      </c>
      <c r="AH28" s="129">
        <v>31</v>
      </c>
      <c r="AI28" s="129">
        <v>32</v>
      </c>
      <c r="AJ28" s="129">
        <v>33</v>
      </c>
      <c r="AK28" s="129">
        <v>34</v>
      </c>
      <c r="AL28" s="129">
        <v>35</v>
      </c>
      <c r="AM28" s="129">
        <v>36</v>
      </c>
    </row>
    <row r="29" spans="1:39" ht="20.05" customHeight="1">
      <c r="A29" s="246" t="s">
        <v>607</v>
      </c>
      <c r="B29" s="246"/>
      <c r="C29" s="166">
        <f>Cashflow!Q4/1000000</f>
        <v>0</v>
      </c>
      <c r="D29" s="166">
        <f>Cashflow!Q5/1000000</f>
        <v>0</v>
      </c>
      <c r="E29" s="166">
        <f>Cashflow!Q6/1000000</f>
        <v>0</v>
      </c>
      <c r="F29" s="166">
        <f>Cashflow!Q7/1000000</f>
        <v>0</v>
      </c>
      <c r="G29" s="166">
        <f>Cashflow!Q8/1000000</f>
        <v>0</v>
      </c>
      <c r="H29" s="166">
        <f>Cashflow!Q9/1000000</f>
        <v>0</v>
      </c>
      <c r="I29" s="166">
        <f>Cashflow!Q10/1000000</f>
        <v>0</v>
      </c>
      <c r="J29" s="166">
        <f>Cashflow!Q11/1000000</f>
        <v>0</v>
      </c>
      <c r="K29" s="166">
        <f>Cashflow!Q12/1000000</f>
        <v>0</v>
      </c>
      <c r="L29" s="166">
        <f>Cashflow!Q13/1000000</f>
        <v>15.583779734610371</v>
      </c>
      <c r="M29" s="166">
        <f>Cashflow!Q14/1000000</f>
        <v>0</v>
      </c>
      <c r="N29" s="166">
        <f>Cashflow!Q15/1000000</f>
        <v>0</v>
      </c>
      <c r="O29" s="166">
        <f>Cashflow!Q16/1000000</f>
        <v>0</v>
      </c>
      <c r="P29" s="166">
        <f>Cashflow!Q17/1000000</f>
        <v>0</v>
      </c>
      <c r="Q29" s="166">
        <f>Cashflow!Q18/1000000</f>
        <v>5.9263455865476056</v>
      </c>
      <c r="R29" s="166">
        <f>Cashflow!Q19/1000000</f>
        <v>25.261106821954485</v>
      </c>
      <c r="S29" s="166">
        <f>Cashflow!Q20/1000000</f>
        <v>50.696402168305376</v>
      </c>
      <c r="T29" s="166">
        <f>Cashflow!Q21/1000000</f>
        <v>73.392280622782437</v>
      </c>
      <c r="U29" s="166">
        <f>Cashflow!Q22/1000000</f>
        <v>92.485936006377145</v>
      </c>
      <c r="V29" s="166">
        <f>Cashflow!Q23/1000000</f>
        <v>113.01573103308934</v>
      </c>
      <c r="W29" s="166">
        <f>Cashflow!Q24/1000000</f>
        <v>128.24675430367941</v>
      </c>
      <c r="X29" s="166">
        <f>Cashflow!Q25/1000000</f>
        <v>0</v>
      </c>
      <c r="Y29" s="166">
        <f>Cashflow!Q26/1000000</f>
        <v>0</v>
      </c>
      <c r="Z29" s="166">
        <f>Cashflow!Q27/1000000</f>
        <v>0</v>
      </c>
      <c r="AA29" s="166">
        <f>Cashflow!Q28/1000000</f>
        <v>0</v>
      </c>
      <c r="AB29" s="166">
        <f>Cashflow!Q29/1000000</f>
        <v>0</v>
      </c>
      <c r="AC29" s="166">
        <f>Cashflow!Q30/1000000</f>
        <v>0</v>
      </c>
      <c r="AD29" s="166">
        <f>Cashflow!Q31/1000000</f>
        <v>0</v>
      </c>
      <c r="AE29" s="166">
        <f>Cashflow!Q32/1000000</f>
        <v>0</v>
      </c>
      <c r="AF29" s="166">
        <f>Cashflow!Q33/1000000</f>
        <v>0</v>
      </c>
      <c r="AG29" s="166">
        <f>Cashflow!Q34/1000000</f>
        <v>0</v>
      </c>
      <c r="AH29" s="166">
        <f>Cashflow!Q35/1000000</f>
        <v>0</v>
      </c>
      <c r="AI29" s="166">
        <f>Cashflow!Q36/1000000</f>
        <v>0</v>
      </c>
      <c r="AJ29" s="166">
        <f>Cashflow!Q37/1000000</f>
        <v>0</v>
      </c>
      <c r="AK29" s="166">
        <f>Cashflow!Q38/1000000</f>
        <v>0</v>
      </c>
      <c r="AL29" s="166">
        <f>Cashflow!Q39/1000000</f>
        <v>0</v>
      </c>
      <c r="AM29" s="166">
        <f>Cashflow!Q40/1000000</f>
        <v>0</v>
      </c>
    </row>
    <row r="30" spans="1:39" ht="20.05" customHeight="1">
      <c r="A30" s="246" t="s">
        <v>608</v>
      </c>
      <c r="B30" s="246"/>
      <c r="C30" s="166">
        <f>-Cashflow!S4/1000000</f>
        <v>127.2</v>
      </c>
      <c r="D30" s="166">
        <f>-Cashflow!S5/1000000</f>
        <v>127.2</v>
      </c>
      <c r="E30" s="166">
        <f>-Cashflow!S6/1000000</f>
        <v>127.2</v>
      </c>
      <c r="F30" s="166">
        <f>-Cashflow!S7/1000000</f>
        <v>127.2</v>
      </c>
      <c r="G30" s="166">
        <f>-Cashflow!S8/1000000</f>
        <v>138.54684952479931</v>
      </c>
      <c r="H30" s="166">
        <f>-Cashflow!S9/1000000</f>
        <v>160.06710795851069</v>
      </c>
      <c r="I30" s="166">
        <f>-Cashflow!S10/1000000</f>
        <v>188.3307143555428</v>
      </c>
      <c r="J30" s="166">
        <f>-Cashflow!S11/1000000</f>
        <v>219.84879260043792</v>
      </c>
      <c r="K30" s="166">
        <f>-Cashflow!S12/1000000</f>
        <v>254.2546527242437</v>
      </c>
      <c r="L30" s="166">
        <f>-Cashflow!S13/1000000</f>
        <v>277.44457659878395</v>
      </c>
      <c r="M30" s="166">
        <f>-Cashflow!S14/1000000</f>
        <v>156.43559736848061</v>
      </c>
      <c r="N30" s="166">
        <f>-Cashflow!S15/1000000</f>
        <v>142.76894170632929</v>
      </c>
      <c r="O30" s="166">
        <f>-Cashflow!S16/1000000</f>
        <v>124.55880914207563</v>
      </c>
      <c r="P30" s="166">
        <f>-Cashflow!S17/1000000</f>
        <v>113.05688638415748</v>
      </c>
      <c r="Q30" s="166">
        <f>-Cashflow!S18/1000000</f>
        <v>137.48842236107853</v>
      </c>
      <c r="R30" s="166">
        <f>-Cashflow!S19/1000000</f>
        <v>160.07178189086</v>
      </c>
      <c r="S30" s="166">
        <f>-Cashflow!S20/1000000</f>
        <v>180.84425253349949</v>
      </c>
      <c r="T30" s="166">
        <f>-Cashflow!S21/1000000</f>
        <v>199.57445410965866</v>
      </c>
      <c r="U30" s="166">
        <f>-Cashflow!S22/1000000</f>
        <v>215.71155812330983</v>
      </c>
      <c r="V30" s="166">
        <f>-Cashflow!S23/1000000</f>
        <v>228.57599093217237</v>
      </c>
      <c r="W30" s="166">
        <f>-Cashflow!S24/1000000</f>
        <v>237.72542217004943</v>
      </c>
      <c r="X30" s="166">
        <f>-Cashflow!S25/1000000</f>
        <v>-179.82256170586663</v>
      </c>
      <c r="Y30" s="166">
        <f>-Cashflow!S26/1000000</f>
        <v>-179.82256170586663</v>
      </c>
      <c r="Z30" s="166">
        <f>-Cashflow!S27/1000000</f>
        <v>-179.82256170586663</v>
      </c>
      <c r="AA30" s="166">
        <f>-Cashflow!S28/1000000</f>
        <v>-179.82256170586663</v>
      </c>
      <c r="AB30" s="166">
        <f>-Cashflow!S29/1000000</f>
        <v>-179.82256170586663</v>
      </c>
      <c r="AC30" s="166">
        <f>-Cashflow!S30/1000000</f>
        <v>-179.82256170586663</v>
      </c>
      <c r="AD30" s="166">
        <f>-Cashflow!S31/1000000</f>
        <v>-179.82256170586663</v>
      </c>
      <c r="AE30" s="166">
        <f>-Cashflow!S32/1000000</f>
        <v>-179.82256170586663</v>
      </c>
      <c r="AF30" s="166">
        <f>-Cashflow!S33/1000000</f>
        <v>-179.82256170586663</v>
      </c>
      <c r="AG30" s="166">
        <f>-Cashflow!S34/1000000</f>
        <v>-179.82256170586663</v>
      </c>
      <c r="AH30" s="166">
        <f>-Cashflow!S35/1000000</f>
        <v>-179.82256170586663</v>
      </c>
      <c r="AI30" s="166">
        <f>-Cashflow!S36/1000000</f>
        <v>-179.82256170586663</v>
      </c>
      <c r="AJ30" s="166">
        <f>-Cashflow!S37/1000000</f>
        <v>-179.82256170586663</v>
      </c>
      <c r="AK30" s="166">
        <f>-Cashflow!S38/1000000</f>
        <v>-179.82256170586663</v>
      </c>
      <c r="AL30" s="166">
        <f>-Cashflow!S39/1000000</f>
        <v>-179.82256170586663</v>
      </c>
      <c r="AM30" s="166">
        <f>-Cashflow!S40/1000000</f>
        <v>-179.82256170586663</v>
      </c>
    </row>
    <row r="31" spans="1:39" ht="20.05" customHeight="1">
      <c r="A31" s="246" t="s">
        <v>648</v>
      </c>
      <c r="B31" s="246"/>
      <c r="C31" s="156">
        <f>Cashflow!H4</f>
        <v>0</v>
      </c>
      <c r="D31" s="156">
        <f>Cashflow!H5</f>
        <v>0</v>
      </c>
      <c r="E31" s="156">
        <f>Cashflow!H6</f>
        <v>0</v>
      </c>
      <c r="F31" s="156">
        <f>Cashflow!H7</f>
        <v>0</v>
      </c>
      <c r="G31" s="156">
        <f>Cashflow!H8</f>
        <v>0</v>
      </c>
      <c r="H31" s="156">
        <f>Cashflow!H9</f>
        <v>0</v>
      </c>
      <c r="I31" s="156">
        <f>Cashflow!H10</f>
        <v>4</v>
      </c>
      <c r="J31" s="156">
        <f>Cashflow!H11</f>
        <v>12</v>
      </c>
      <c r="K31" s="156">
        <f>Cashflow!H12</f>
        <v>22</v>
      </c>
      <c r="L31" s="156">
        <f>Cashflow!H13</f>
        <v>35</v>
      </c>
      <c r="M31" s="156">
        <f>Cashflow!H14</f>
        <v>49</v>
      </c>
      <c r="N31" s="156">
        <f>Cashflow!H15</f>
        <v>63</v>
      </c>
      <c r="O31" s="156">
        <f>Cashflow!H16</f>
        <v>77</v>
      </c>
      <c r="P31" s="156">
        <f>Cashflow!H17</f>
        <v>89</v>
      </c>
      <c r="Q31" s="156">
        <f>Cashflow!H18</f>
        <v>94</v>
      </c>
      <c r="R31" s="156">
        <f>Cashflow!H19</f>
        <v>95</v>
      </c>
      <c r="S31" s="156">
        <f>Cashflow!H20</f>
        <v>95</v>
      </c>
      <c r="T31" s="156">
        <f>Cashflow!H21</f>
        <v>95</v>
      </c>
      <c r="U31" s="156">
        <f>Cashflow!H22</f>
        <v>95</v>
      </c>
      <c r="V31" s="156">
        <f>Cashflow!H23</f>
        <v>95</v>
      </c>
      <c r="W31" s="156">
        <f>Cashflow!H24</f>
        <v>95</v>
      </c>
      <c r="X31" s="156">
        <f>Cashflow!H25</f>
        <v>95</v>
      </c>
      <c r="Y31" s="156">
        <f>Cashflow!H26</f>
        <v>95</v>
      </c>
      <c r="Z31" s="156">
        <f>Cashflow!H27</f>
        <v>95</v>
      </c>
      <c r="AA31" s="156">
        <f>Cashflow!H28</f>
        <v>95</v>
      </c>
      <c r="AB31" s="156">
        <f>Cashflow!H29</f>
        <v>95</v>
      </c>
      <c r="AC31" s="156">
        <f>Cashflow!H30</f>
        <v>95</v>
      </c>
      <c r="AD31" s="156">
        <f>Cashflow!H31</f>
        <v>95</v>
      </c>
      <c r="AE31" s="156">
        <f>Cashflow!H32</f>
        <v>95</v>
      </c>
      <c r="AF31" s="156">
        <f>Cashflow!H33</f>
        <v>95</v>
      </c>
      <c r="AG31" s="156">
        <f>Cashflow!H34</f>
        <v>95</v>
      </c>
      <c r="AH31" s="156">
        <f>Cashflow!H35</f>
        <v>95</v>
      </c>
      <c r="AI31" s="156">
        <f>Cashflow!H36</f>
        <v>95</v>
      </c>
      <c r="AJ31" s="156">
        <f>Cashflow!H37</f>
        <v>95</v>
      </c>
      <c r="AK31" s="156">
        <f>Cashflow!H38</f>
        <v>95</v>
      </c>
      <c r="AL31" s="156">
        <f>Cashflow!H39</f>
        <v>95</v>
      </c>
      <c r="AM31" s="156">
        <f>Cashflow!H40</f>
        <v>95</v>
      </c>
    </row>
    <row r="32" spans="1:39" ht="20.05" customHeight="1">
      <c r="A32" s="246" t="s">
        <v>649</v>
      </c>
      <c r="B32" s="246"/>
      <c r="C32" s="156">
        <f>ROUNDUP(Assumptions!B54*Assumptions!B78,0)</f>
        <v>29</v>
      </c>
      <c r="D32" s="156">
        <f>ROUNDUP(Assumptions!B54*Assumptions!B78,0)</f>
        <v>29</v>
      </c>
      <c r="E32" s="156">
        <f>ROUNDUP(Assumptions!B54*Assumptions!B78,0)</f>
        <v>29</v>
      </c>
      <c r="F32" s="156">
        <f>ROUNDUP(Assumptions!B54*Assumptions!B78,0)</f>
        <v>29</v>
      </c>
      <c r="G32" s="156">
        <f>ROUNDUP(Assumptions!B54*Assumptions!B78,0)</f>
        <v>29</v>
      </c>
      <c r="H32" s="156">
        <f>ROUNDUP(Assumptions!B54*Assumptions!B78,0)</f>
        <v>29</v>
      </c>
      <c r="I32" s="156">
        <f>ROUNDUP(Assumptions!B54*Assumptions!B78,0)</f>
        <v>29</v>
      </c>
      <c r="J32" s="156">
        <f>ROUNDUP(Assumptions!B54*Assumptions!B78,0)</f>
        <v>29</v>
      </c>
      <c r="K32" s="156">
        <f>ROUNDUP(Assumptions!B54*Assumptions!B78,0)</f>
        <v>29</v>
      </c>
      <c r="L32" s="156">
        <f>ROUNDUP(Assumptions!B54*Assumptions!B78,0)</f>
        <v>29</v>
      </c>
      <c r="M32" s="156">
        <f>ROUNDUP(Assumptions!B54*Assumptions!B78,0)</f>
        <v>29</v>
      </c>
      <c r="N32" s="156">
        <f>ROUNDUP(Assumptions!B54*Assumptions!B78,0)</f>
        <v>29</v>
      </c>
      <c r="O32" s="156">
        <f>ROUNDUP(Assumptions!B54*Assumptions!B78,0)</f>
        <v>29</v>
      </c>
      <c r="P32" s="156">
        <f>ROUNDUP(Assumptions!B54*Assumptions!B78,0)</f>
        <v>29</v>
      </c>
      <c r="Q32" s="156">
        <f>ROUNDUP(Assumptions!B54*Assumptions!B78,0)</f>
        <v>29</v>
      </c>
      <c r="R32" s="156">
        <f>ROUNDUP(Assumptions!B54*Assumptions!B78,0)</f>
        <v>29</v>
      </c>
      <c r="S32" s="156">
        <f>ROUNDUP(Assumptions!B54*Assumptions!B78,0)</f>
        <v>29</v>
      </c>
      <c r="T32" s="156">
        <f>ROUNDUP(Assumptions!B54*Assumptions!B78,0)</f>
        <v>29</v>
      </c>
      <c r="U32" s="156">
        <f>ROUNDUP(Assumptions!B54*Assumptions!B78,0)</f>
        <v>29</v>
      </c>
      <c r="V32" s="156">
        <f>ROUNDUP(Assumptions!B54*Assumptions!B78,0)</f>
        <v>29</v>
      </c>
      <c r="W32" s="156">
        <f>ROUNDUP(Assumptions!B54*Assumptions!B78,0)</f>
        <v>29</v>
      </c>
      <c r="X32" s="156">
        <f>ROUNDUP(Assumptions!B54*Assumptions!B78,0)</f>
        <v>29</v>
      </c>
      <c r="Y32" s="156">
        <f>ROUNDUP(Assumptions!B54*Assumptions!B78,0)</f>
        <v>29</v>
      </c>
      <c r="Z32" s="156">
        <f>ROUNDUP(Assumptions!B54*Assumptions!B78,0)</f>
        <v>29</v>
      </c>
      <c r="AA32" s="156">
        <f>ROUNDUP(Assumptions!B54*Assumptions!B78,0)</f>
        <v>29</v>
      </c>
      <c r="AB32" s="156">
        <f>ROUNDUP(Assumptions!B54*Assumptions!B78,0)</f>
        <v>29</v>
      </c>
      <c r="AC32" s="156">
        <f>ROUNDUP(Assumptions!B54*Assumptions!B78,0)</f>
        <v>29</v>
      </c>
      <c r="AD32" s="156">
        <f>ROUNDUP(Assumptions!B54*Assumptions!B78,0)</f>
        <v>29</v>
      </c>
      <c r="AE32" s="156">
        <f>ROUNDUP(Assumptions!B54*Assumptions!B78,0)</f>
        <v>29</v>
      </c>
      <c r="AF32" s="156">
        <f>ROUNDUP(Assumptions!B54*Assumptions!B78,0)</f>
        <v>29</v>
      </c>
      <c r="AG32" s="156">
        <f>ROUNDUP(Assumptions!B54*Assumptions!B78,0)</f>
        <v>29</v>
      </c>
      <c r="AH32" s="156">
        <f>ROUNDUP(Assumptions!B54*Assumptions!B78,0)</f>
        <v>29</v>
      </c>
      <c r="AI32" s="156">
        <f>ROUNDUP(Assumptions!B54*Assumptions!B78,0)</f>
        <v>29</v>
      </c>
      <c r="AJ32" s="156">
        <f>ROUNDUP(Assumptions!B54*Assumptions!B78,0)</f>
        <v>29</v>
      </c>
      <c r="AK32" s="156">
        <f>ROUNDUP(Assumptions!B54*Assumptions!B78,0)</f>
        <v>29</v>
      </c>
      <c r="AL32" s="156">
        <f>ROUNDUP(Assumptions!B54*Assumptions!B78,0)</f>
        <v>29</v>
      </c>
      <c r="AM32" s="156">
        <f>ROUNDUP(Assumptions!B54*Assumptions!B78,0)</f>
        <v>29</v>
      </c>
    </row>
    <row r="34" spans="1:39" ht="30" customHeight="1">
      <c r="A34" s="232" t="s">
        <v>650</v>
      </c>
      <c r="B34" s="232"/>
      <c r="C34" s="232"/>
      <c r="D34" s="232"/>
      <c r="E34" s="232"/>
      <c r="F34" s="232"/>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row>
  </sheetData>
  <mergeCells count="99">
    <mergeCell ref="A31:B31"/>
    <mergeCell ref="A32:B32"/>
    <mergeCell ref="A34:AM34"/>
    <mergeCell ref="Y25"/>
    <mergeCell ref="A27:AM27"/>
    <mergeCell ref="A28:B28"/>
    <mergeCell ref="A29:B29"/>
    <mergeCell ref="A30:B30"/>
    <mergeCell ref="A25"/>
    <mergeCell ref="D25"/>
    <mergeCell ref="F25"/>
    <mergeCell ref="O25"/>
    <mergeCell ref="U25"/>
    <mergeCell ref="Y23"/>
    <mergeCell ref="A24"/>
    <mergeCell ref="D24"/>
    <mergeCell ref="F24"/>
    <mergeCell ref="O24"/>
    <mergeCell ref="U24"/>
    <mergeCell ref="Y24"/>
    <mergeCell ref="A23"/>
    <mergeCell ref="D23"/>
    <mergeCell ref="F23"/>
    <mergeCell ref="O23"/>
    <mergeCell ref="U23"/>
    <mergeCell ref="Y21"/>
    <mergeCell ref="A22"/>
    <mergeCell ref="D22"/>
    <mergeCell ref="F22"/>
    <mergeCell ref="O22"/>
    <mergeCell ref="U22"/>
    <mergeCell ref="Y22"/>
    <mergeCell ref="A21"/>
    <mergeCell ref="D21"/>
    <mergeCell ref="F21"/>
    <mergeCell ref="O21"/>
    <mergeCell ref="U21"/>
    <mergeCell ref="Y19"/>
    <mergeCell ref="A20"/>
    <mergeCell ref="D20"/>
    <mergeCell ref="F20"/>
    <mergeCell ref="O20"/>
    <mergeCell ref="U20"/>
    <mergeCell ref="Y20"/>
    <mergeCell ref="A19"/>
    <mergeCell ref="D19"/>
    <mergeCell ref="F19"/>
    <mergeCell ref="O19"/>
    <mergeCell ref="U19"/>
    <mergeCell ref="Y17"/>
    <mergeCell ref="A18"/>
    <mergeCell ref="D18"/>
    <mergeCell ref="F18"/>
    <mergeCell ref="O18"/>
    <mergeCell ref="U18"/>
    <mergeCell ref="Y18"/>
    <mergeCell ref="A17"/>
    <mergeCell ref="D17"/>
    <mergeCell ref="F17"/>
    <mergeCell ref="O17"/>
    <mergeCell ref="U17"/>
    <mergeCell ref="Y15"/>
    <mergeCell ref="A16"/>
    <mergeCell ref="D16"/>
    <mergeCell ref="F16"/>
    <mergeCell ref="O16"/>
    <mergeCell ref="U16"/>
    <mergeCell ref="Y16"/>
    <mergeCell ref="A15"/>
    <mergeCell ref="D15"/>
    <mergeCell ref="F15"/>
    <mergeCell ref="O15"/>
    <mergeCell ref="U15"/>
    <mergeCell ref="A11:B11"/>
    <mergeCell ref="A13:M13"/>
    <mergeCell ref="O13:AM13"/>
    <mergeCell ref="A14:C14"/>
    <mergeCell ref="D14:E14"/>
    <mergeCell ref="F14:M14"/>
    <mergeCell ref="O14:T14"/>
    <mergeCell ref="U14:X14"/>
    <mergeCell ref="Y14:AM14"/>
    <mergeCell ref="A6:B6"/>
    <mergeCell ref="A7:B7"/>
    <mergeCell ref="A8:B8"/>
    <mergeCell ref="A9:B9"/>
    <mergeCell ref="A10:B10"/>
    <mergeCell ref="A4:H4"/>
    <mergeCell ref="I4:P4"/>
    <mergeCell ref="Q4:X4"/>
    <mergeCell ref="Y4:AF4"/>
    <mergeCell ref="AG4:AM4"/>
    <mergeCell ref="A1:AM1"/>
    <mergeCell ref="A2:AM2"/>
    <mergeCell ref="A3:H3"/>
    <mergeCell ref="I3:P3"/>
    <mergeCell ref="Q3:X3"/>
    <mergeCell ref="Y3:AF3"/>
    <mergeCell ref="AG3:AM3"/>
  </mergeCells>
  <conditionalFormatting sqref="C7:AM7">
    <cfRule type="expression" dxfId="8" priority="7">
      <formula>C7=1</formula>
    </cfRule>
  </conditionalFormatting>
  <conditionalFormatting sqref="C8:AM8">
    <cfRule type="expression" dxfId="7" priority="8">
      <formula>C8=1</formula>
    </cfRule>
  </conditionalFormatting>
  <conditionalFormatting sqref="C9:AM9">
    <cfRule type="expression" dxfId="6" priority="9">
      <formula>C9=1</formula>
    </cfRule>
  </conditionalFormatting>
  <conditionalFormatting sqref="C10:AM10">
    <cfRule type="expression" dxfId="5" priority="10">
      <formula>C10=1</formula>
    </cfRule>
  </conditionalFormatting>
  <conditionalFormatting sqref="C11:AM11">
    <cfRule type="expression" dxfId="4" priority="11">
      <formula>C11=1</formula>
    </cfRule>
  </conditionalFormatting>
  <pageMargins left="0.25" right="0.25" top="0.3" bottom="0.3" header="0.2" footer="0.2"/>
  <pageSetup fitToHeight="2"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61"/>
  <sheetViews>
    <sheetView workbookViewId="0">
      <pane ySplit="18" topLeftCell="A19" activePane="bottomLeft" state="frozen"/>
      <selection activeCell="C23" sqref="C23"/>
      <selection pane="bottomLeft" activeCell="E19" sqref="E19"/>
    </sheetView>
  </sheetViews>
  <sheetFormatPr defaultRowHeight="14.4"/>
  <cols>
    <col min="1" max="1" width="28" customWidth="1"/>
    <col min="2" max="3" width="13" customWidth="1"/>
    <col min="4" max="6" width="14" customWidth="1"/>
    <col min="7" max="10" width="16" customWidth="1"/>
    <col min="11" max="14" width="12" customWidth="1"/>
    <col min="15" max="16" width="18" customWidth="1"/>
  </cols>
  <sheetData>
    <row r="1" spans="1:16" ht="30" customHeight="1">
      <c r="A1" s="228" t="s">
        <v>651</v>
      </c>
      <c r="B1" s="252"/>
      <c r="C1" s="252"/>
      <c r="D1" s="252"/>
      <c r="E1" s="252"/>
      <c r="F1" s="252"/>
      <c r="G1" s="252"/>
      <c r="H1" s="252"/>
      <c r="I1" s="252"/>
      <c r="J1" s="252"/>
      <c r="K1" s="252"/>
      <c r="L1" s="252"/>
      <c r="M1" s="252"/>
      <c r="N1" s="252"/>
      <c r="O1" s="252"/>
      <c r="P1" s="252"/>
    </row>
    <row r="2" spans="1:16" ht="20.05" customHeight="1">
      <c r="A2" s="253" t="s">
        <v>652</v>
      </c>
      <c r="B2" s="252"/>
      <c r="C2" s="252"/>
      <c r="D2" s="252"/>
      <c r="E2" s="252"/>
      <c r="F2" s="252"/>
      <c r="G2" s="252"/>
      <c r="H2" s="252"/>
      <c r="I2" s="252"/>
      <c r="J2" s="252"/>
      <c r="K2" s="252"/>
      <c r="L2" s="252"/>
      <c r="M2" s="252"/>
      <c r="N2" s="252"/>
      <c r="O2" s="252"/>
      <c r="P2" s="252"/>
    </row>
    <row r="4" spans="1:16" ht="20.05" customHeight="1">
      <c r="A4" s="201" t="s">
        <v>653</v>
      </c>
      <c r="B4" s="252"/>
      <c r="C4" s="252"/>
      <c r="D4" s="252"/>
    </row>
    <row r="5" spans="1:16">
      <c r="A5" s="33" t="s">
        <v>578</v>
      </c>
      <c r="B5" s="33" t="s">
        <v>654</v>
      </c>
      <c r="C5" s="33" t="s">
        <v>655</v>
      </c>
      <c r="D5" s="33" t="s">
        <v>656</v>
      </c>
    </row>
    <row r="6" spans="1:16">
      <c r="A6" s="17" t="s">
        <v>657</v>
      </c>
      <c r="B6" s="56">
        <f>Assumptions!B12</f>
        <v>95</v>
      </c>
      <c r="C6" s="17" t="s">
        <v>658</v>
      </c>
      <c r="D6" s="17" t="s">
        <v>659</v>
      </c>
    </row>
    <row r="7" spans="1:16">
      <c r="A7" s="17" t="s">
        <v>660</v>
      </c>
      <c r="B7" s="56">
        <f>Assumptions!E12</f>
        <v>7064</v>
      </c>
      <c r="C7" s="17" t="s">
        <v>661</v>
      </c>
      <c r="D7" s="17" t="s">
        <v>659</v>
      </c>
    </row>
    <row r="8" spans="1:16">
      <c r="A8" s="17" t="s">
        <v>662</v>
      </c>
      <c r="B8" s="57">
        <f>SUM(Sales!J25:N61)</f>
        <v>1034694512.4642348</v>
      </c>
      <c r="C8" s="17" t="s">
        <v>663</v>
      </c>
      <c r="D8" s="17" t="s">
        <v>540</v>
      </c>
    </row>
    <row r="9" spans="1:16">
      <c r="A9" s="17" t="s">
        <v>664</v>
      </c>
      <c r="B9" s="57">
        <f>B8/B6</f>
        <v>10891521.183834052</v>
      </c>
      <c r="C9" s="17" t="s">
        <v>665</v>
      </c>
      <c r="D9" s="17" t="s">
        <v>666</v>
      </c>
    </row>
    <row r="10" spans="1:16">
      <c r="A10" s="17" t="s">
        <v>667</v>
      </c>
      <c r="B10" s="57">
        <f>B8/B7</f>
        <v>146474.30810648852</v>
      </c>
      <c r="C10" s="17" t="s">
        <v>668</v>
      </c>
      <c r="D10" s="17" t="s">
        <v>666</v>
      </c>
    </row>
    <row r="11" spans="1:16">
      <c r="A11" s="17" t="s">
        <v>669</v>
      </c>
      <c r="B11" s="49">
        <f>MAX(J18:J22)</f>
        <v>0.33262937515008401</v>
      </c>
      <c r="C11" s="17" t="str">
        <f>INDEX(A18:A22,MATCH(B11,J18:J22,0))</f>
        <v>2-bed</v>
      </c>
      <c r="D11" s="17" t="s">
        <v>670</v>
      </c>
    </row>
    <row r="12" spans="1:16">
      <c r="A12" s="17" t="s">
        <v>671</v>
      </c>
      <c r="B12" s="56">
        <f>INDEX(Sales!A25:A61,MATCH(Assumptions!B12,Sales!I25:I61,0))</f>
        <v>15</v>
      </c>
      <c r="C12" s="17" t="s">
        <v>672</v>
      </c>
      <c r="D12" s="17" t="s">
        <v>540</v>
      </c>
    </row>
    <row r="13" spans="1:16">
      <c r="A13" s="17" t="s">
        <v>673</v>
      </c>
      <c r="B13" s="17" t="str">
        <f>INDEX(A18:A22,MATCH(MAX(K18:K22),K18:K22,0))</f>
        <v>1-bed</v>
      </c>
      <c r="C13" s="56">
        <f>MAX(K18:K22)</f>
        <v>4</v>
      </c>
      <c r="D13" s="17" t="s">
        <v>674</v>
      </c>
    </row>
    <row r="14" spans="1:16">
      <c r="A14" s="17" t="s">
        <v>675</v>
      </c>
      <c r="B14" s="17" t="str">
        <f>INDEX(A18:A22,MATCH(MIN(K18:K22),K18:K22,0))</f>
        <v>3-bed</v>
      </c>
      <c r="C14" s="56">
        <f>MIN(K18:K22)</f>
        <v>2</v>
      </c>
      <c r="D14" s="17" t="s">
        <v>674</v>
      </c>
    </row>
    <row r="17" spans="1:16" ht="20.05" customHeight="1">
      <c r="A17" s="201" t="s">
        <v>676</v>
      </c>
      <c r="B17" s="201"/>
      <c r="C17" s="201"/>
      <c r="D17" s="201"/>
      <c r="E17" s="201"/>
      <c r="F17" s="201"/>
      <c r="G17" s="201"/>
      <c r="H17" s="201"/>
      <c r="I17" s="201"/>
      <c r="J17" s="201"/>
      <c r="K17" s="201"/>
      <c r="L17" s="201"/>
      <c r="M17" s="201"/>
      <c r="N17" s="201"/>
      <c r="O17" s="201"/>
      <c r="P17" s="201"/>
    </row>
    <row r="18" spans="1:16" ht="22" customHeight="1">
      <c r="A18" s="33" t="s">
        <v>70</v>
      </c>
      <c r="B18" s="33" t="s">
        <v>71</v>
      </c>
      <c r="C18" s="33" t="s">
        <v>677</v>
      </c>
      <c r="D18" s="33" t="s">
        <v>678</v>
      </c>
      <c r="E18" s="33" t="s">
        <v>679</v>
      </c>
      <c r="F18" s="33" t="s">
        <v>680</v>
      </c>
      <c r="G18" s="33" t="s">
        <v>681</v>
      </c>
      <c r="H18" s="33" t="s">
        <v>682</v>
      </c>
      <c r="I18" s="33" t="s">
        <v>683</v>
      </c>
      <c r="J18" s="33" t="s">
        <v>670</v>
      </c>
      <c r="K18" s="33" t="s">
        <v>684</v>
      </c>
      <c r="L18" s="33" t="s">
        <v>153</v>
      </c>
      <c r="M18" s="33" t="s">
        <v>685</v>
      </c>
      <c r="N18" s="33" t="s">
        <v>686</v>
      </c>
      <c r="O18" s="33" t="s">
        <v>687</v>
      </c>
      <c r="P18" s="33" t="s">
        <v>688</v>
      </c>
    </row>
    <row r="19" spans="1:16">
      <c r="A19" s="17" t="str">
        <f>Assumptions!A7</f>
        <v>Studio</v>
      </c>
      <c r="B19" s="56">
        <f>Assumptions!B7</f>
        <v>18</v>
      </c>
      <c r="C19" s="49">
        <f>B19/$B$6</f>
        <v>0.18947368421052632</v>
      </c>
      <c r="D19" s="56">
        <f>Assumptions!C7</f>
        <v>32</v>
      </c>
      <c r="E19" s="56">
        <f>Assumptions!E7</f>
        <v>576</v>
      </c>
      <c r="F19" s="49">
        <f>E19/$B$7</f>
        <v>8.1540203850509627E-2</v>
      </c>
      <c r="G19" s="57">
        <f>Assumptions!D7</f>
        <v>155000</v>
      </c>
      <c r="H19" s="57">
        <f>Assumptions!F7</f>
        <v>89280000</v>
      </c>
      <c r="I19" s="57">
        <f>SUM(Sales!J$25:J$61)</f>
        <v>88911747.955846459</v>
      </c>
      <c r="J19" s="49">
        <f>I19/SUM($I$19:$I$23)</f>
        <v>8.5930433461074138E-2</v>
      </c>
      <c r="K19" s="56">
        <f>Sales!F5</f>
        <v>3</v>
      </c>
      <c r="L19" s="56">
        <f>Sales!E5</f>
        <v>9</v>
      </c>
      <c r="M19" s="56">
        <f>L19+ROUNDUP(B19/K19,0)-1</f>
        <v>14</v>
      </c>
      <c r="N19" s="56">
        <f>M19-L19+1</f>
        <v>6</v>
      </c>
      <c r="O19" s="57">
        <f t="shared" ref="O19:O24" si="0">I19/B19</f>
        <v>4939541.5531025808</v>
      </c>
      <c r="P19" s="17" t="str">
        <f>IF(J19&gt;0.3,"Revenue concentration",IF(C19&gt;0.3,"Inventory concentration",IF(N19&gt;8,"Velocity watch","Balanced")))</f>
        <v>Balanced</v>
      </c>
    </row>
    <row r="20" spans="1:16">
      <c r="A20" s="17" t="str">
        <f>Assumptions!A8</f>
        <v>1-bed</v>
      </c>
      <c r="B20" s="56">
        <f>Assumptions!B8</f>
        <v>30</v>
      </c>
      <c r="C20" s="49">
        <f>B20/$B$6</f>
        <v>0.31578947368421051</v>
      </c>
      <c r="D20" s="56">
        <f>Assumptions!C8</f>
        <v>52</v>
      </c>
      <c r="E20" s="56">
        <f>Assumptions!E8</f>
        <v>1560</v>
      </c>
      <c r="F20" s="49">
        <f>E20/$B$7</f>
        <v>0.22083805209513024</v>
      </c>
      <c r="G20" s="57">
        <f>Assumptions!D8</f>
        <v>148000</v>
      </c>
      <c r="H20" s="57">
        <f>Assumptions!F8</f>
        <v>230880000</v>
      </c>
      <c r="I20" s="57">
        <f>SUM(Sales!K$25:K$61)</f>
        <v>231600163.56242558</v>
      </c>
      <c r="J20" s="49">
        <f>I20/SUM($I$19:$I$23)</f>
        <v>0.22383434025454069</v>
      </c>
      <c r="K20" s="56">
        <f>Sales!F6</f>
        <v>4</v>
      </c>
      <c r="L20" s="56">
        <f>Sales!E6</f>
        <v>6</v>
      </c>
      <c r="M20" s="56">
        <f>L20+ROUNDUP(B20/K20,0)-1</f>
        <v>13</v>
      </c>
      <c r="N20" s="56">
        <f>M20-L20+1</f>
        <v>8</v>
      </c>
      <c r="O20" s="57">
        <f t="shared" si="0"/>
        <v>7720005.4520808524</v>
      </c>
      <c r="P20" s="17" t="str">
        <f>IF(J20&gt;0.3,"Revenue concentration",IF(C20&gt;0.3,"Inventory concentration",IF(N20&gt;8,"Velocity watch","Balanced")))</f>
        <v>Inventory concentration</v>
      </c>
    </row>
    <row r="21" spans="1:16">
      <c r="A21" s="17" t="str">
        <f>Assumptions!A9</f>
        <v>2-bed</v>
      </c>
      <c r="B21" s="56">
        <f>Assumptions!B9</f>
        <v>28</v>
      </c>
      <c r="C21" s="49">
        <f>B21/$B$6</f>
        <v>0.29473684210526313</v>
      </c>
      <c r="D21" s="56">
        <f>Assumptions!C9</f>
        <v>86</v>
      </c>
      <c r="E21" s="56">
        <f>Assumptions!E9</f>
        <v>2408</v>
      </c>
      <c r="F21" s="49">
        <f>E21/$B$7</f>
        <v>0.34088335220838051</v>
      </c>
      <c r="G21" s="57">
        <f>Assumptions!D9</f>
        <v>142000</v>
      </c>
      <c r="H21" s="57">
        <f>Assumptions!F9</f>
        <v>341936000</v>
      </c>
      <c r="I21" s="57">
        <f>SUM(Sales!L$25:L$61)</f>
        <v>344169789.15219915</v>
      </c>
      <c r="J21" s="49">
        <f>I21/SUM($I$19:$I$23)</f>
        <v>0.33262937515008401</v>
      </c>
      <c r="K21" s="56">
        <f>Sales!F7</f>
        <v>4</v>
      </c>
      <c r="L21" s="56">
        <f>Sales!E7</f>
        <v>7</v>
      </c>
      <c r="M21" s="56">
        <f>L21+ROUNDUP(B21/K21,0)-1</f>
        <v>13</v>
      </c>
      <c r="N21" s="56">
        <f>M21-L21+1</f>
        <v>7</v>
      </c>
      <c r="O21" s="57">
        <f t="shared" si="0"/>
        <v>12291778.184007112</v>
      </c>
      <c r="P21" s="17" t="str">
        <f>IF(J21&gt;0.3,"Revenue concentration",IF(C21&gt;0.3,"Inventory concentration",IF(N21&gt;8,"Velocity watch","Balanced")))</f>
        <v>Revenue concentration</v>
      </c>
    </row>
    <row r="22" spans="1:16">
      <c r="A22" s="17" t="str">
        <f>Assumptions!A10</f>
        <v>3-bed</v>
      </c>
      <c r="B22" s="56">
        <f>Assumptions!B10</f>
        <v>15</v>
      </c>
      <c r="C22" s="49">
        <f>B22/$B$6</f>
        <v>0.15789473684210525</v>
      </c>
      <c r="D22" s="56">
        <f>Assumptions!C10</f>
        <v>120</v>
      </c>
      <c r="E22" s="56">
        <f>Assumptions!E10</f>
        <v>1800</v>
      </c>
      <c r="F22" s="49">
        <f>E22/$B$7</f>
        <v>0.25481313703284258</v>
      </c>
      <c r="G22" s="57">
        <f>Assumptions!D10</f>
        <v>138000</v>
      </c>
      <c r="H22" s="57">
        <f>Assumptions!F10</f>
        <v>248400000</v>
      </c>
      <c r="I22" s="57">
        <f>SUM(Sales!M$25:M$61)</f>
        <v>252495092.14876345</v>
      </c>
      <c r="J22" s="49">
        <f>I22/SUM($I$19:$I$23)</f>
        <v>0.2440286375419346</v>
      </c>
      <c r="K22" s="56">
        <f>Sales!F8</f>
        <v>2</v>
      </c>
      <c r="L22" s="56">
        <f>Sales!E8</f>
        <v>8</v>
      </c>
      <c r="M22" s="56">
        <f>L22+ROUNDUP(B22/K22,0)-1</f>
        <v>15</v>
      </c>
      <c r="N22" s="56">
        <f>M22-L22+1</f>
        <v>8</v>
      </c>
      <c r="O22" s="57">
        <f t="shared" si="0"/>
        <v>16833006.143250898</v>
      </c>
      <c r="P22" s="17" t="str">
        <f>IF(J22&gt;0.3,"Revenue concentration",IF(C22&gt;0.3,"Inventory concentration",IF(N22&gt;8,"Velocity watch","Balanced")))</f>
        <v>Balanced</v>
      </c>
    </row>
    <row r="23" spans="1:16">
      <c r="A23" s="17" t="str">
        <f>Assumptions!A11</f>
        <v>Penthouse</v>
      </c>
      <c r="B23" s="56">
        <f>Assumptions!B11</f>
        <v>4</v>
      </c>
      <c r="C23" s="49">
        <f>B23/$B$6</f>
        <v>4.2105263157894736E-2</v>
      </c>
      <c r="D23" s="56">
        <f>Assumptions!C11</f>
        <v>180</v>
      </c>
      <c r="E23" s="56">
        <f>Assumptions!E11</f>
        <v>720</v>
      </c>
      <c r="F23" s="49">
        <f>E23/$B$7</f>
        <v>0.10192525481313704</v>
      </c>
      <c r="G23" s="57">
        <f>Assumptions!D11</f>
        <v>162000</v>
      </c>
      <c r="H23" s="57">
        <f>Assumptions!F11</f>
        <v>116640000</v>
      </c>
      <c r="I23" s="57">
        <f>SUM(Sales!N$25:N$61)</f>
        <v>117517719.64499998</v>
      </c>
      <c r="J23" s="49">
        <f>I23/SUM($I$19:$I$23)</f>
        <v>0.11357721359236658</v>
      </c>
      <c r="K23" s="56">
        <f>Sales!F9</f>
        <v>1</v>
      </c>
      <c r="L23" s="56">
        <f>Sales!E9</f>
        <v>10</v>
      </c>
      <c r="M23" s="56">
        <f>L23+ROUNDUP(B23/K23,0)-1</f>
        <v>13</v>
      </c>
      <c r="N23" s="56">
        <f>M23-L23+1</f>
        <v>4</v>
      </c>
      <c r="O23" s="57">
        <f t="shared" si="0"/>
        <v>29379429.911249995</v>
      </c>
      <c r="P23" s="17" t="str">
        <f>IF(J23&gt;0.3,"Revenue concentration",IF(C23&gt;0.3,"Inventory concentration",IF(N23&gt;8,"Velocity watch","Balanced")))</f>
        <v>Balanced</v>
      </c>
    </row>
    <row r="24" spans="1:16">
      <c r="A24" s="35" t="s">
        <v>689</v>
      </c>
      <c r="B24" s="56">
        <f>SUM(B19:B23)</f>
        <v>95</v>
      </c>
      <c r="C24" s="49">
        <f>SUM(C19:C23)</f>
        <v>1</v>
      </c>
      <c r="D24" s="56">
        <f>SUMPRODUCT(B19:B23,D19:D23)/B24</f>
        <v>74.357894736842098</v>
      </c>
      <c r="E24" s="56">
        <f>SUM(E19:E23)</f>
        <v>7064</v>
      </c>
      <c r="F24" s="49">
        <f>SUM(F19:F23)</f>
        <v>1</v>
      </c>
      <c r="G24" s="57">
        <f>SUMPRODUCT(E19:E23,G19:G23)/E24</f>
        <v>145404.30351075876</v>
      </c>
      <c r="H24" s="57">
        <f>SUM(H19:H23)</f>
        <v>1027136000</v>
      </c>
      <c r="I24" s="57">
        <f>SUM(I19:I23)</f>
        <v>1034694512.4642346</v>
      </c>
      <c r="J24" s="49">
        <f>SUM(J19:J23)</f>
        <v>1</v>
      </c>
      <c r="K24" s="56">
        <f>SUM(K19:K23)</f>
        <v>14</v>
      </c>
      <c r="L24" s="35" t="s">
        <v>690</v>
      </c>
      <c r="M24" s="56">
        <f>MAX(M19:M23)</f>
        <v>15</v>
      </c>
      <c r="N24" s="56">
        <f>MAX(N19:N23)</f>
        <v>8</v>
      </c>
      <c r="O24" s="57">
        <f t="shared" si="0"/>
        <v>10891521.183834048</v>
      </c>
      <c r="P24" s="17" t="str">
        <f>IF(MAX(J19:J23)&gt;0.35,"Review concentration","Readable mix")</f>
        <v>Readable mix</v>
      </c>
    </row>
    <row r="27" spans="1:16" ht="20.05" customHeight="1">
      <c r="A27" s="193" t="s">
        <v>691</v>
      </c>
      <c r="B27" s="193"/>
      <c r="C27" s="193"/>
      <c r="D27" s="193"/>
      <c r="E27" s="193"/>
      <c r="F27" s="193"/>
    </row>
    <row r="28" spans="1:16">
      <c r="A28" s="33" t="s">
        <v>692</v>
      </c>
      <c r="B28" s="33" t="s">
        <v>693</v>
      </c>
      <c r="C28" s="33" t="s">
        <v>284</v>
      </c>
      <c r="D28" s="33" t="s">
        <v>285</v>
      </c>
      <c r="E28" s="33" t="s">
        <v>694</v>
      </c>
    </row>
    <row r="29" spans="1:16">
      <c r="A29" s="17" t="s">
        <v>695</v>
      </c>
      <c r="B29" s="49">
        <f>MAX(J19:J23)</f>
        <v>0.33262937515008401</v>
      </c>
      <c r="C29" s="17" t="s">
        <v>696</v>
      </c>
      <c r="D29" s="17" t="str">
        <f>IF(B29&gt;0.35,"Review","OK")</f>
        <v>OK</v>
      </c>
      <c r="E29" s="17" t="s">
        <v>697</v>
      </c>
    </row>
    <row r="30" spans="1:16">
      <c r="A30" s="17" t="s">
        <v>698</v>
      </c>
      <c r="B30" s="49">
        <f>MAX(ABS(J19-F19),ABS(J20-F20),ABS(J21-F21),ABS(J22-F22),ABS(J23-F23))</f>
        <v>1.1651958779229546E-2</v>
      </c>
      <c r="C30" s="17" t="s">
        <v>699</v>
      </c>
      <c r="D30" s="17" t="str">
        <f>IF(B30&gt;0.1,"Review","OK")</f>
        <v>OK</v>
      </c>
      <c r="E30" s="17" t="s">
        <v>700</v>
      </c>
    </row>
    <row r="31" spans="1:16">
      <c r="A31" s="17" t="s">
        <v>701</v>
      </c>
      <c r="B31" s="49">
        <f>MAX(K19:K23)/SUM(K19:K23)</f>
        <v>0.2857142857142857</v>
      </c>
      <c r="C31" s="17" t="s">
        <v>702</v>
      </c>
      <c r="D31" s="17" t="str">
        <f>IF(B31&gt;0.4,"Review","OK")</f>
        <v>OK</v>
      </c>
      <c r="E31" s="17" t="s">
        <v>703</v>
      </c>
    </row>
    <row r="32" spans="1:16">
      <c r="A32" s="17" t="s">
        <v>704</v>
      </c>
      <c r="B32" s="56">
        <f>MAX(M19:M23)</f>
        <v>15</v>
      </c>
      <c r="C32" s="17" t="s">
        <v>705</v>
      </c>
      <c r="D32" s="17" t="str">
        <f>IF(B32&gt;Assumptions!B69+3,"Review","OK")</f>
        <v>OK</v>
      </c>
      <c r="E32" s="17" t="s">
        <v>706</v>
      </c>
    </row>
    <row r="35" spans="1:9" ht="20.05" customHeight="1">
      <c r="A35" s="201" t="s">
        <v>707</v>
      </c>
      <c r="B35" s="201"/>
      <c r="C35" s="201"/>
      <c r="D35" s="201"/>
      <c r="E35" s="201"/>
      <c r="F35" s="201"/>
      <c r="G35" s="201"/>
      <c r="H35" s="201"/>
      <c r="I35" s="252"/>
    </row>
    <row r="36" spans="1:9">
      <c r="A36" s="33" t="s">
        <v>32</v>
      </c>
      <c r="B36" s="33" t="s">
        <v>76</v>
      </c>
      <c r="C36" s="33" t="s">
        <v>77</v>
      </c>
      <c r="D36" s="33" t="s">
        <v>78</v>
      </c>
      <c r="E36" s="33" t="s">
        <v>79</v>
      </c>
      <c r="F36" s="33" t="s">
        <v>80</v>
      </c>
      <c r="G36" s="33" t="s">
        <v>177</v>
      </c>
      <c r="H36" s="33" t="s">
        <v>708</v>
      </c>
      <c r="I36" s="33" t="s">
        <v>709</v>
      </c>
    </row>
    <row r="37" spans="1:9">
      <c r="A37" s="56">
        <f>Sales!A25</f>
        <v>0</v>
      </c>
      <c r="B37" s="56">
        <f>Sales!B25</f>
        <v>0</v>
      </c>
      <c r="C37" s="56">
        <f>Sales!C25</f>
        <v>0</v>
      </c>
      <c r="D37" s="56">
        <f>Sales!D25</f>
        <v>0</v>
      </c>
      <c r="E37" s="56">
        <f>Sales!E25</f>
        <v>0</v>
      </c>
      <c r="F37" s="56">
        <f>Sales!F25</f>
        <v>0</v>
      </c>
      <c r="G37" s="56">
        <f>Sales!H25</f>
        <v>0</v>
      </c>
      <c r="H37" s="56">
        <f>Sales!I25</f>
        <v>0</v>
      </c>
      <c r="I37" s="57">
        <f>Sales!P25</f>
        <v>0</v>
      </c>
    </row>
    <row r="38" spans="1:9">
      <c r="A38" s="56">
        <f>Sales!A26</f>
        <v>1</v>
      </c>
      <c r="B38" s="56">
        <f>Sales!B26</f>
        <v>0</v>
      </c>
      <c r="C38" s="56">
        <f>Sales!C26</f>
        <v>0</v>
      </c>
      <c r="D38" s="56">
        <f>Sales!D26</f>
        <v>0</v>
      </c>
      <c r="E38" s="56">
        <f>Sales!E26</f>
        <v>0</v>
      </c>
      <c r="F38" s="56">
        <f>Sales!F26</f>
        <v>0</v>
      </c>
      <c r="G38" s="56">
        <f>Sales!H26</f>
        <v>0</v>
      </c>
      <c r="H38" s="56">
        <f>Sales!I26</f>
        <v>0</v>
      </c>
      <c r="I38" s="57">
        <f>Sales!P26</f>
        <v>0</v>
      </c>
    </row>
    <row r="39" spans="1:9">
      <c r="A39" s="56">
        <f>Sales!A27</f>
        <v>2</v>
      </c>
      <c r="B39" s="56">
        <f>Sales!B27</f>
        <v>0</v>
      </c>
      <c r="C39" s="56">
        <f>Sales!C27</f>
        <v>0</v>
      </c>
      <c r="D39" s="56">
        <f>Sales!D27</f>
        <v>0</v>
      </c>
      <c r="E39" s="56">
        <f>Sales!E27</f>
        <v>0</v>
      </c>
      <c r="F39" s="56">
        <f>Sales!F27</f>
        <v>0</v>
      </c>
      <c r="G39" s="56">
        <f>Sales!H27</f>
        <v>0</v>
      </c>
      <c r="H39" s="56">
        <f>Sales!I27</f>
        <v>0</v>
      </c>
      <c r="I39" s="57">
        <f>Sales!P27</f>
        <v>0</v>
      </c>
    </row>
    <row r="40" spans="1:9">
      <c r="A40" s="56">
        <f>Sales!A28</f>
        <v>3</v>
      </c>
      <c r="B40" s="56">
        <f>Sales!B28</f>
        <v>0</v>
      </c>
      <c r="C40" s="56">
        <f>Sales!C28</f>
        <v>0</v>
      </c>
      <c r="D40" s="56">
        <f>Sales!D28</f>
        <v>0</v>
      </c>
      <c r="E40" s="56">
        <f>Sales!E28</f>
        <v>0</v>
      </c>
      <c r="F40" s="56">
        <f>Sales!F28</f>
        <v>0</v>
      </c>
      <c r="G40" s="56">
        <f>Sales!H28</f>
        <v>0</v>
      </c>
      <c r="H40" s="56">
        <f>Sales!I28</f>
        <v>0</v>
      </c>
      <c r="I40" s="57">
        <f>Sales!P28</f>
        <v>0</v>
      </c>
    </row>
    <row r="41" spans="1:9">
      <c r="A41" s="56">
        <f>Sales!A29</f>
        <v>4</v>
      </c>
      <c r="B41" s="56">
        <f>Sales!B29</f>
        <v>0</v>
      </c>
      <c r="C41" s="56">
        <f>Sales!C29</f>
        <v>0</v>
      </c>
      <c r="D41" s="56">
        <f>Sales!D29</f>
        <v>0</v>
      </c>
      <c r="E41" s="56">
        <f>Sales!E29</f>
        <v>0</v>
      </c>
      <c r="F41" s="56">
        <f>Sales!F29</f>
        <v>0</v>
      </c>
      <c r="G41" s="56">
        <f>Sales!H29</f>
        <v>0</v>
      </c>
      <c r="H41" s="56">
        <f>Sales!I29</f>
        <v>0</v>
      </c>
      <c r="I41" s="57">
        <f>Sales!P29</f>
        <v>0</v>
      </c>
    </row>
    <row r="42" spans="1:9">
      <c r="A42" s="56">
        <f>Sales!A30</f>
        <v>5</v>
      </c>
      <c r="B42" s="56">
        <f>Sales!B30</f>
        <v>0</v>
      </c>
      <c r="C42" s="56">
        <f>Sales!C30</f>
        <v>0</v>
      </c>
      <c r="D42" s="56">
        <f>Sales!D30</f>
        <v>0</v>
      </c>
      <c r="E42" s="56">
        <f>Sales!E30</f>
        <v>0</v>
      </c>
      <c r="F42" s="56">
        <f>Sales!F30</f>
        <v>0</v>
      </c>
      <c r="G42" s="56">
        <f>Sales!H30</f>
        <v>0</v>
      </c>
      <c r="H42" s="56">
        <f>Sales!I30</f>
        <v>0</v>
      </c>
      <c r="I42" s="57">
        <f>Sales!P30</f>
        <v>0</v>
      </c>
    </row>
    <row r="43" spans="1:9">
      <c r="A43" s="56">
        <f>Sales!A31</f>
        <v>6</v>
      </c>
      <c r="B43" s="56">
        <f>Sales!B31</f>
        <v>0</v>
      </c>
      <c r="C43" s="56">
        <f>Sales!C31</f>
        <v>4</v>
      </c>
      <c r="D43" s="56">
        <f>Sales!D31</f>
        <v>0</v>
      </c>
      <c r="E43" s="56">
        <f>Sales!E31</f>
        <v>0</v>
      </c>
      <c r="F43" s="56">
        <f>Sales!F31</f>
        <v>0</v>
      </c>
      <c r="G43" s="56">
        <f>Sales!H31</f>
        <v>4</v>
      </c>
      <c r="H43" s="56">
        <f>Sales!I31</f>
        <v>4</v>
      </c>
      <c r="I43" s="57">
        <f>Sales!P31</f>
        <v>29244800</v>
      </c>
    </row>
    <row r="44" spans="1:9">
      <c r="A44" s="56">
        <f>Sales!A32</f>
        <v>7</v>
      </c>
      <c r="B44" s="56">
        <f>Sales!B32</f>
        <v>0</v>
      </c>
      <c r="C44" s="56">
        <f>Sales!C32</f>
        <v>4</v>
      </c>
      <c r="D44" s="56">
        <f>Sales!D32</f>
        <v>4</v>
      </c>
      <c r="E44" s="56">
        <f>Sales!E32</f>
        <v>0</v>
      </c>
      <c r="F44" s="56">
        <f>Sales!F32</f>
        <v>0</v>
      </c>
      <c r="G44" s="56">
        <f>Sales!H32</f>
        <v>8</v>
      </c>
      <c r="H44" s="56">
        <f>Sales!I32</f>
        <v>12</v>
      </c>
      <c r="I44" s="57">
        <f>Sales!P32</f>
        <v>76773584</v>
      </c>
    </row>
    <row r="45" spans="1:9">
      <c r="A45" s="56">
        <f>Sales!A33</f>
        <v>8</v>
      </c>
      <c r="B45" s="56">
        <f>Sales!B33</f>
        <v>0</v>
      </c>
      <c r="C45" s="56">
        <f>Sales!C33</f>
        <v>4</v>
      </c>
      <c r="D45" s="56">
        <f>Sales!D33</f>
        <v>4</v>
      </c>
      <c r="E45" s="56">
        <f>Sales!E33</f>
        <v>2</v>
      </c>
      <c r="F45" s="56">
        <f>Sales!F33</f>
        <v>0</v>
      </c>
      <c r="G45" s="56">
        <f>Sales!H33</f>
        <v>10</v>
      </c>
      <c r="H45" s="56">
        <f>Sales!I33</f>
        <v>22</v>
      </c>
      <c r="I45" s="57">
        <f>Sales!P33</f>
        <v>111832082.39999998</v>
      </c>
    </row>
    <row r="46" spans="1:9">
      <c r="A46" s="56">
        <f>Sales!A34</f>
        <v>9</v>
      </c>
      <c r="B46" s="56">
        <f>Sales!B34</f>
        <v>3</v>
      </c>
      <c r="C46" s="56">
        <f>Sales!C34</f>
        <v>4</v>
      </c>
      <c r="D46" s="56">
        <f>Sales!D34</f>
        <v>4</v>
      </c>
      <c r="E46" s="56">
        <f>Sales!E34</f>
        <v>2</v>
      </c>
      <c r="F46" s="56">
        <f>Sales!F34</f>
        <v>0</v>
      </c>
      <c r="G46" s="56">
        <f>Sales!H34</f>
        <v>13</v>
      </c>
      <c r="H46" s="56">
        <f>Sales!I34</f>
        <v>35</v>
      </c>
      <c r="I46" s="57">
        <f>Sales!P34</f>
        <v>128007373.84799998</v>
      </c>
    </row>
    <row r="47" spans="1:9">
      <c r="A47" s="56">
        <f>Sales!A35</f>
        <v>10</v>
      </c>
      <c r="B47" s="56">
        <f>Sales!B35</f>
        <v>3</v>
      </c>
      <c r="C47" s="56">
        <f>Sales!C35</f>
        <v>4</v>
      </c>
      <c r="D47" s="56">
        <f>Sales!D35</f>
        <v>4</v>
      </c>
      <c r="E47" s="56">
        <f>Sales!E35</f>
        <v>2</v>
      </c>
      <c r="F47" s="56">
        <f>Sales!F35</f>
        <v>1</v>
      </c>
      <c r="G47" s="56">
        <f>Sales!H35</f>
        <v>14</v>
      </c>
      <c r="H47" s="56">
        <f>Sales!I35</f>
        <v>49</v>
      </c>
      <c r="I47" s="57">
        <f>Sales!P35</f>
        <v>157807410.71723995</v>
      </c>
    </row>
    <row r="48" spans="1:9">
      <c r="A48" s="56">
        <f>Sales!A36</f>
        <v>11</v>
      </c>
      <c r="B48" s="56">
        <f>Sales!B36</f>
        <v>3</v>
      </c>
      <c r="C48" s="56">
        <f>Sales!C36</f>
        <v>4</v>
      </c>
      <c r="D48" s="56">
        <f>Sales!D36</f>
        <v>4</v>
      </c>
      <c r="E48" s="56">
        <f>Sales!E36</f>
        <v>2</v>
      </c>
      <c r="F48" s="56">
        <f>Sales!F36</f>
        <v>1</v>
      </c>
      <c r="G48" s="56">
        <f>Sales!H36</f>
        <v>14</v>
      </c>
      <c r="H48" s="56">
        <f>Sales!I36</f>
        <v>63</v>
      </c>
      <c r="I48" s="57">
        <f>Sales!P36</f>
        <v>159347906.37082613</v>
      </c>
    </row>
    <row r="49" spans="1:9">
      <c r="A49" s="56">
        <f>Sales!A37</f>
        <v>12</v>
      </c>
      <c r="B49" s="56">
        <f>Sales!B37</f>
        <v>3</v>
      </c>
      <c r="C49" s="56">
        <f>Sales!C37</f>
        <v>4</v>
      </c>
      <c r="D49" s="56">
        <f>Sales!D37</f>
        <v>4</v>
      </c>
      <c r="E49" s="56">
        <f>Sales!E37</f>
        <v>2</v>
      </c>
      <c r="F49" s="56">
        <f>Sales!F37</f>
        <v>1</v>
      </c>
      <c r="G49" s="56">
        <f>Sales!H37</f>
        <v>14</v>
      </c>
      <c r="H49" s="56">
        <f>Sales!I37</f>
        <v>77</v>
      </c>
      <c r="I49" s="57">
        <f>Sales!P37</f>
        <v>172144645.90268022</v>
      </c>
    </row>
    <row r="50" spans="1:9">
      <c r="A50" s="56">
        <f>Sales!A38</f>
        <v>13</v>
      </c>
      <c r="B50" s="56">
        <f>Sales!B38</f>
        <v>3</v>
      </c>
      <c r="C50" s="56">
        <f>Sales!C38</f>
        <v>2</v>
      </c>
      <c r="D50" s="56">
        <f>Sales!D38</f>
        <v>4</v>
      </c>
      <c r="E50" s="56">
        <f>Sales!E38</f>
        <v>2</v>
      </c>
      <c r="F50" s="56">
        <f>Sales!F38</f>
        <v>1</v>
      </c>
      <c r="G50" s="56">
        <f>Sales!H38</f>
        <v>12</v>
      </c>
      <c r="H50" s="56">
        <f>Sales!I38</f>
        <v>89</v>
      </c>
      <c r="I50" s="57">
        <f>Sales!P38</f>
        <v>157036500.65448183</v>
      </c>
    </row>
    <row r="51" spans="1:9">
      <c r="A51" s="56">
        <f>Sales!A39</f>
        <v>14</v>
      </c>
      <c r="B51" s="56">
        <f>Sales!B39</f>
        <v>3</v>
      </c>
      <c r="C51" s="56">
        <f>Sales!C39</f>
        <v>0</v>
      </c>
      <c r="D51" s="56">
        <f>Sales!D39</f>
        <v>0</v>
      </c>
      <c r="E51" s="56">
        <f>Sales!E39</f>
        <v>2</v>
      </c>
      <c r="F51" s="56">
        <f>Sales!F39</f>
        <v>0</v>
      </c>
      <c r="G51" s="56">
        <f>Sales!H39</f>
        <v>5</v>
      </c>
      <c r="H51" s="56">
        <f>Sales!I39</f>
        <v>94</v>
      </c>
      <c r="I51" s="57">
        <f>Sales!P39</f>
        <v>61441916.757667974</v>
      </c>
    </row>
    <row r="52" spans="1:9">
      <c r="A52" s="56">
        <f>Sales!A40</f>
        <v>15</v>
      </c>
      <c r="B52" s="56">
        <f>Sales!B40</f>
        <v>0</v>
      </c>
      <c r="C52" s="56">
        <f>Sales!C40</f>
        <v>0</v>
      </c>
      <c r="D52" s="56">
        <f>Sales!D40</f>
        <v>0</v>
      </c>
      <c r="E52" s="56">
        <f>Sales!E40</f>
        <v>1</v>
      </c>
      <c r="F52" s="56">
        <f>Sales!F40</f>
        <v>0</v>
      </c>
      <c r="G52" s="56">
        <f>Sales!H40</f>
        <v>1</v>
      </c>
      <c r="H52" s="56">
        <f>Sales!I40</f>
        <v>95</v>
      </c>
      <c r="I52" s="57">
        <f>Sales!P40</f>
        <v>29238592.00083854</v>
      </c>
    </row>
    <row r="53" spans="1:9">
      <c r="A53" s="56">
        <f>Sales!A41</f>
        <v>16</v>
      </c>
      <c r="B53" s="56">
        <f>Sales!B41</f>
        <v>0</v>
      </c>
      <c r="C53" s="56">
        <f>Sales!C41</f>
        <v>0</v>
      </c>
      <c r="D53" s="56">
        <f>Sales!D41</f>
        <v>0</v>
      </c>
      <c r="E53" s="56">
        <f>Sales!E41</f>
        <v>0</v>
      </c>
      <c r="F53" s="56">
        <f>Sales!F41</f>
        <v>0</v>
      </c>
      <c r="G53" s="56">
        <f>Sales!H41</f>
        <v>0</v>
      </c>
      <c r="H53" s="56">
        <f>Sales!I41</f>
        <v>95</v>
      </c>
      <c r="I53" s="57">
        <f>Sales!P41</f>
        <v>12120450.750468748</v>
      </c>
    </row>
    <row r="54" spans="1:9">
      <c r="A54" s="56">
        <f>Sales!A42</f>
        <v>17</v>
      </c>
      <c r="B54" s="56">
        <f>Sales!B42</f>
        <v>0</v>
      </c>
      <c r="C54" s="56">
        <f>Sales!C42</f>
        <v>0</v>
      </c>
      <c r="D54" s="56">
        <f>Sales!D42</f>
        <v>0</v>
      </c>
      <c r="E54" s="56">
        <f>Sales!E42</f>
        <v>0</v>
      </c>
      <c r="F54" s="56">
        <f>Sales!F42</f>
        <v>0</v>
      </c>
      <c r="G54" s="56">
        <f>Sales!H42</f>
        <v>0</v>
      </c>
      <c r="H54" s="56">
        <f>Sales!I42</f>
        <v>95</v>
      </c>
      <c r="I54" s="57">
        <f>Sales!P42</f>
        <v>12150751.877344919</v>
      </c>
    </row>
    <row r="55" spans="1:9">
      <c r="A55" s="56">
        <f>Sales!A43</f>
        <v>18</v>
      </c>
      <c r="B55" s="56">
        <f>Sales!B43</f>
        <v>0</v>
      </c>
      <c r="C55" s="56">
        <f>Sales!C43</f>
        <v>0</v>
      </c>
      <c r="D55" s="56">
        <f>Sales!D43</f>
        <v>0</v>
      </c>
      <c r="E55" s="56">
        <f>Sales!E43</f>
        <v>0</v>
      </c>
      <c r="F55" s="56">
        <f>Sales!F43</f>
        <v>0</v>
      </c>
      <c r="G55" s="56">
        <f>Sales!H43</f>
        <v>0</v>
      </c>
      <c r="H55" s="56">
        <f>Sales!I43</f>
        <v>95</v>
      </c>
      <c r="I55" s="57">
        <f>Sales!P43</f>
        <v>12181128.757038279</v>
      </c>
    </row>
    <row r="56" spans="1:9">
      <c r="A56" s="56">
        <f>Sales!A44</f>
        <v>19</v>
      </c>
      <c r="B56" s="56">
        <f>Sales!B44</f>
        <v>0</v>
      </c>
      <c r="C56" s="56">
        <f>Sales!C44</f>
        <v>0</v>
      </c>
      <c r="D56" s="56">
        <f>Sales!D44</f>
        <v>0</v>
      </c>
      <c r="E56" s="56">
        <f>Sales!E44</f>
        <v>0</v>
      </c>
      <c r="F56" s="56">
        <f>Sales!F44</f>
        <v>0</v>
      </c>
      <c r="G56" s="56">
        <f>Sales!H44</f>
        <v>0</v>
      </c>
      <c r="H56" s="56">
        <f>Sales!I44</f>
        <v>95</v>
      </c>
      <c r="I56" s="57">
        <f>Sales!P44</f>
        <v>0</v>
      </c>
    </row>
    <row r="57" spans="1:9">
      <c r="A57" s="56">
        <f>Sales!A45</f>
        <v>20</v>
      </c>
      <c r="B57" s="56">
        <f>Sales!B45</f>
        <v>0</v>
      </c>
      <c r="C57" s="56">
        <f>Sales!C45</f>
        <v>0</v>
      </c>
      <c r="D57" s="56">
        <f>Sales!D45</f>
        <v>0</v>
      </c>
      <c r="E57" s="56">
        <f>Sales!E45</f>
        <v>0</v>
      </c>
      <c r="F57" s="56">
        <f>Sales!F45</f>
        <v>0</v>
      </c>
      <c r="G57" s="56">
        <f>Sales!H45</f>
        <v>0</v>
      </c>
      <c r="H57" s="56">
        <f>Sales!I45</f>
        <v>95</v>
      </c>
      <c r="I57" s="57">
        <f>Sales!P45</f>
        <v>0</v>
      </c>
    </row>
    <row r="58" spans="1:9">
      <c r="A58" s="56">
        <f>Sales!A46</f>
        <v>21</v>
      </c>
      <c r="B58" s="56">
        <f>Sales!B46</f>
        <v>0</v>
      </c>
      <c r="C58" s="56">
        <f>Sales!C46</f>
        <v>0</v>
      </c>
      <c r="D58" s="56">
        <f>Sales!D46</f>
        <v>0</v>
      </c>
      <c r="E58" s="56">
        <f>Sales!E46</f>
        <v>0</v>
      </c>
      <c r="F58" s="56">
        <f>Sales!F46</f>
        <v>0</v>
      </c>
      <c r="G58" s="56">
        <f>Sales!H46</f>
        <v>0</v>
      </c>
      <c r="H58" s="56">
        <f>Sales!I46</f>
        <v>95</v>
      </c>
      <c r="I58" s="57">
        <f>Sales!P46</f>
        <v>0</v>
      </c>
    </row>
    <row r="59" spans="1:9">
      <c r="A59" s="56">
        <f>Sales!A47</f>
        <v>22</v>
      </c>
      <c r="B59" s="56">
        <f>Sales!B47</f>
        <v>0</v>
      </c>
      <c r="C59" s="56">
        <f>Sales!C47</f>
        <v>0</v>
      </c>
      <c r="D59" s="56">
        <f>Sales!D47</f>
        <v>0</v>
      </c>
      <c r="E59" s="56">
        <f>Sales!E47</f>
        <v>0</v>
      </c>
      <c r="F59" s="56">
        <f>Sales!F47</f>
        <v>0</v>
      </c>
      <c r="G59" s="56">
        <f>Sales!H47</f>
        <v>0</v>
      </c>
      <c r="H59" s="56">
        <f>Sales!I47</f>
        <v>95</v>
      </c>
      <c r="I59" s="57">
        <f>Sales!P47</f>
        <v>0</v>
      </c>
    </row>
    <row r="60" spans="1:9">
      <c r="A60" s="56">
        <f>Sales!A48</f>
        <v>23</v>
      </c>
      <c r="B60" s="56">
        <f>Sales!B48</f>
        <v>0</v>
      </c>
      <c r="C60" s="56">
        <f>Sales!C48</f>
        <v>0</v>
      </c>
      <c r="D60" s="56">
        <f>Sales!D48</f>
        <v>0</v>
      </c>
      <c r="E60" s="56">
        <f>Sales!E48</f>
        <v>0</v>
      </c>
      <c r="F60" s="56">
        <f>Sales!F48</f>
        <v>0</v>
      </c>
      <c r="G60" s="56">
        <f>Sales!H48</f>
        <v>0</v>
      </c>
      <c r="H60" s="56">
        <f>Sales!I48</f>
        <v>95</v>
      </c>
      <c r="I60" s="57">
        <f>Sales!P48</f>
        <v>0</v>
      </c>
    </row>
    <row r="61" spans="1:9">
      <c r="A61" s="56">
        <f>Sales!A49</f>
        <v>24</v>
      </c>
      <c r="B61" s="56">
        <f>Sales!B49</f>
        <v>0</v>
      </c>
      <c r="C61" s="56">
        <f>Sales!C49</f>
        <v>0</v>
      </c>
      <c r="D61" s="56">
        <f>Sales!D49</f>
        <v>0</v>
      </c>
      <c r="E61" s="56">
        <f>Sales!E49</f>
        <v>0</v>
      </c>
      <c r="F61" s="56">
        <f>Sales!F49</f>
        <v>0</v>
      </c>
      <c r="G61" s="56">
        <f>Sales!H49</f>
        <v>0</v>
      </c>
      <c r="H61" s="56">
        <f>Sales!I49</f>
        <v>95</v>
      </c>
      <c r="I61" s="57">
        <f>Sales!P49</f>
        <v>0</v>
      </c>
    </row>
  </sheetData>
  <mergeCells count="5">
    <mergeCell ref="A1:P1"/>
    <mergeCell ref="A2:P2"/>
    <mergeCell ref="A4:D4"/>
    <mergeCell ref="A17:P17"/>
    <mergeCell ref="A35:I35"/>
  </mergeCells>
  <conditionalFormatting sqref="C19:C23 F19:F23 J19:J23">
    <cfRule type="dataBar" priority="1">
      <dataBar>
        <cfvo type="min"/>
        <cfvo type="max"/>
        <color rgb="FFA34A32"/>
      </dataBar>
    </cfRule>
  </conditionalFormatting>
  <conditionalFormatting sqref="D29:D32">
    <cfRule type="containsText" priority="2" operator="containsText" text="Review">
      <formula>NOT(ISERROR(SEARCH("Review",D29)))</formula>
    </cfRule>
  </conditionalFormatting>
  <pageMargins left="0.25" right="0.25" top="0.5" bottom="0.5" header="0.3" footer="0.3"/>
  <pageSetup paperSize="9" fitToHeight="0"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89"/>
  <sheetViews>
    <sheetView showGridLines="0" zoomScaleNormal="100" workbookViewId="0">
      <pane ySplit="5" topLeftCell="A6" activePane="bottomLeft" state="frozen"/>
      <selection pane="bottomLeft" activeCell="C7" sqref="C7"/>
    </sheetView>
  </sheetViews>
  <sheetFormatPr defaultColWidth="8.68359375" defaultRowHeight="14.4"/>
  <cols>
    <col min="1" max="1" width="39.578125" customWidth="1"/>
    <col min="2" max="3" width="17.578125" customWidth="1"/>
    <col min="4" max="4" width="19.578125" customWidth="1"/>
    <col min="5" max="5" width="17.578125" customWidth="1"/>
    <col min="6" max="6" width="20.578125" customWidth="1"/>
  </cols>
  <sheetData>
    <row r="1" spans="1:6" ht="32.049999999999997" customHeight="1">
      <c r="A1" s="255" t="s">
        <v>68</v>
      </c>
      <c r="B1" s="255"/>
      <c r="C1" s="255"/>
      <c r="D1" s="255"/>
      <c r="E1" s="255"/>
      <c r="F1" s="255"/>
    </row>
    <row r="2" spans="1:6">
      <c r="A2" s="38" t="s">
        <v>577</v>
      </c>
      <c r="B2" s="127">
        <f>'Scenario Comparison'!B3</f>
        <v>1</v>
      </c>
      <c r="C2" s="1"/>
      <c r="D2" s="1"/>
      <c r="E2" s="1"/>
      <c r="F2" s="1"/>
    </row>
    <row r="3" spans="1:6">
      <c r="A3" s="39" t="s">
        <v>69</v>
      </c>
      <c r="B3" s="40" t="str">
        <f>CHOOSE(B2,"Base","Downside","Upside")</f>
        <v>Base</v>
      </c>
      <c r="C3" s="1"/>
      <c r="D3" s="1"/>
      <c r="E3" s="1"/>
      <c r="F3" s="1"/>
    </row>
    <row r="4" spans="1:6">
      <c r="A4" s="1"/>
      <c r="B4" s="1"/>
      <c r="C4" s="1"/>
      <c r="D4" s="1"/>
      <c r="E4" s="1"/>
      <c r="F4" s="1"/>
    </row>
    <row r="5" spans="1:6" ht="23.05" customHeight="1">
      <c r="A5" s="201" t="s">
        <v>308</v>
      </c>
      <c r="B5" s="201"/>
      <c r="C5" s="201"/>
      <c r="D5" s="201"/>
      <c r="E5" s="201"/>
      <c r="F5" s="201"/>
    </row>
    <row r="6" spans="1:6">
      <c r="A6" s="33" t="s">
        <v>70</v>
      </c>
      <c r="B6" s="33" t="s">
        <v>71</v>
      </c>
      <c r="C6" s="33" t="s">
        <v>72</v>
      </c>
      <c r="D6" s="33" t="s">
        <v>73</v>
      </c>
      <c r="E6" s="33" t="s">
        <v>74</v>
      </c>
      <c r="F6" s="33" t="s">
        <v>75</v>
      </c>
    </row>
    <row r="7" spans="1:6">
      <c r="A7" s="1" t="s">
        <v>76</v>
      </c>
      <c r="B7" s="41">
        <v>18</v>
      </c>
      <c r="C7" s="41">
        <v>32</v>
      </c>
      <c r="D7" s="42">
        <v>155000</v>
      </c>
      <c r="E7" s="5">
        <f>B7*C7</f>
        <v>576</v>
      </c>
      <c r="F7" s="10">
        <f>E7*D7</f>
        <v>89280000</v>
      </c>
    </row>
    <row r="8" spans="1:6">
      <c r="A8" s="1" t="s">
        <v>77</v>
      </c>
      <c r="B8" s="43">
        <v>30</v>
      </c>
      <c r="C8" s="43">
        <v>52</v>
      </c>
      <c r="D8" s="44">
        <v>148000</v>
      </c>
      <c r="E8" s="5">
        <f>B8*C8</f>
        <v>1560</v>
      </c>
      <c r="F8" s="10">
        <f>E8*D8</f>
        <v>230880000</v>
      </c>
    </row>
    <row r="9" spans="1:6">
      <c r="A9" s="1" t="s">
        <v>78</v>
      </c>
      <c r="B9" s="43">
        <v>28</v>
      </c>
      <c r="C9" s="43">
        <v>86</v>
      </c>
      <c r="D9" s="44">
        <v>142000</v>
      </c>
      <c r="E9" s="5">
        <f>B9*C9</f>
        <v>2408</v>
      </c>
      <c r="F9" s="10">
        <f>E9*D9</f>
        <v>341936000</v>
      </c>
    </row>
    <row r="10" spans="1:6">
      <c r="A10" s="1" t="s">
        <v>79</v>
      </c>
      <c r="B10" s="43">
        <v>15</v>
      </c>
      <c r="C10" s="43">
        <v>120</v>
      </c>
      <c r="D10" s="44">
        <v>138000</v>
      </c>
      <c r="E10" s="5">
        <f>B10*C10</f>
        <v>1800</v>
      </c>
      <c r="F10" s="10">
        <f>E10*D10</f>
        <v>248400000</v>
      </c>
    </row>
    <row r="11" spans="1:6">
      <c r="A11" s="1" t="s">
        <v>80</v>
      </c>
      <c r="B11" s="45">
        <v>4</v>
      </c>
      <c r="C11" s="45">
        <v>180</v>
      </c>
      <c r="D11" s="46">
        <v>162000</v>
      </c>
      <c r="E11" s="5">
        <f>B11*C11</f>
        <v>720</v>
      </c>
      <c r="F11" s="10">
        <f>E11*D11</f>
        <v>116640000</v>
      </c>
    </row>
    <row r="12" spans="1:6">
      <c r="A12" s="35" t="s">
        <v>81</v>
      </c>
      <c r="B12" s="36">
        <f>SUM(B7:B11)</f>
        <v>95</v>
      </c>
      <c r="C12" s="35"/>
      <c r="D12" s="35"/>
      <c r="E12" s="36">
        <f>SUM(E7:E11)</f>
        <v>7064</v>
      </c>
      <c r="F12" s="37">
        <f>SUM(F7:F11)</f>
        <v>1027136000</v>
      </c>
    </row>
    <row r="13" spans="1:6">
      <c r="A13" s="1" t="s">
        <v>82</v>
      </c>
      <c r="B13" s="43">
        <v>70</v>
      </c>
      <c r="C13" s="47"/>
      <c r="D13" s="44">
        <v>1200000</v>
      </c>
      <c r="E13" s="2" t="s">
        <v>83</v>
      </c>
      <c r="F13" s="10">
        <f>B13*D13</f>
        <v>84000000</v>
      </c>
    </row>
    <row r="14" spans="1:6">
      <c r="A14" s="1"/>
      <c r="B14" s="1"/>
      <c r="C14" s="1"/>
      <c r="D14" s="1"/>
      <c r="E14" s="1"/>
      <c r="F14" s="1"/>
    </row>
    <row r="15" spans="1:6" ht="23.05" customHeight="1">
      <c r="A15" s="201" t="s">
        <v>84</v>
      </c>
      <c r="B15" s="201"/>
      <c r="C15" s="201"/>
      <c r="D15" s="201"/>
      <c r="E15" s="201"/>
      <c r="F15" s="201"/>
    </row>
    <row r="16" spans="1:6">
      <c r="A16" s="33" t="s">
        <v>85</v>
      </c>
      <c r="B16" s="33" t="s">
        <v>86</v>
      </c>
      <c r="C16" s="33" t="s">
        <v>87</v>
      </c>
      <c r="D16" s="33" t="s">
        <v>88</v>
      </c>
      <c r="E16" s="33" t="s">
        <v>89</v>
      </c>
      <c r="F16" s="1"/>
    </row>
    <row r="17" spans="1:6">
      <c r="A17" s="1" t="s">
        <v>90</v>
      </c>
      <c r="B17" s="48">
        <v>1</v>
      </c>
      <c r="C17" s="48">
        <v>0.92</v>
      </c>
      <c r="D17" s="48">
        <v>1.06</v>
      </c>
      <c r="E17" s="52">
        <f>CHOOSE($B$2,B17,C17,D17)</f>
        <v>1</v>
      </c>
      <c r="F17" s="1"/>
    </row>
    <row r="18" spans="1:6">
      <c r="A18" s="1" t="s">
        <v>91</v>
      </c>
      <c r="B18" s="44">
        <v>68000</v>
      </c>
      <c r="C18" s="44">
        <v>76000</v>
      </c>
      <c r="D18" s="44">
        <v>63000</v>
      </c>
      <c r="E18" s="53">
        <f>CHOOSE($B$2,B18,C18,D18)</f>
        <v>68000</v>
      </c>
      <c r="F18" s="1"/>
    </row>
    <row r="19" spans="1:6">
      <c r="A19" s="1" t="s">
        <v>92</v>
      </c>
      <c r="B19" s="49">
        <v>0.16</v>
      </c>
      <c r="C19" s="49">
        <v>0.18</v>
      </c>
      <c r="D19" s="49">
        <v>0.14000000000000001</v>
      </c>
      <c r="E19" s="54">
        <f>CHOOSE($B$2,B19,C19,D19)</f>
        <v>0.16</v>
      </c>
      <c r="F19" s="1"/>
    </row>
    <row r="20" spans="1:6">
      <c r="A20" s="1" t="s">
        <v>93</v>
      </c>
      <c r="B20" s="50">
        <v>8</v>
      </c>
      <c r="C20" s="50">
        <v>5</v>
      </c>
      <c r="D20" s="50">
        <v>11</v>
      </c>
      <c r="E20" s="55">
        <f>CHOOSE($B$2,B20,C20,D20)</f>
        <v>8</v>
      </c>
      <c r="F20" s="1"/>
    </row>
    <row r="21" spans="1:6">
      <c r="A21" s="1"/>
      <c r="B21" s="1"/>
      <c r="C21" s="1"/>
      <c r="D21" s="1"/>
      <c r="E21" s="1"/>
      <c r="F21" s="1"/>
    </row>
    <row r="22" spans="1:6" ht="23.05" customHeight="1">
      <c r="A22" s="201" t="s">
        <v>94</v>
      </c>
      <c r="B22" s="201"/>
      <c r="C22" s="201"/>
      <c r="D22" s="201"/>
      <c r="E22" s="201"/>
      <c r="F22" s="201"/>
    </row>
    <row r="23" spans="1:6">
      <c r="A23" s="1" t="s">
        <v>95</v>
      </c>
      <c r="B23" s="49">
        <v>0.8</v>
      </c>
      <c r="C23" s="1"/>
      <c r="D23" s="1"/>
      <c r="E23" s="1"/>
      <c r="F23" s="1"/>
    </row>
    <row r="24" spans="1:6">
      <c r="A24" s="1" t="s">
        <v>96</v>
      </c>
      <c r="B24" s="5">
        <f>E12/B23</f>
        <v>8830</v>
      </c>
      <c r="C24" s="2" t="s">
        <v>97</v>
      </c>
      <c r="D24" s="1"/>
      <c r="E24" s="1"/>
      <c r="F24" s="1"/>
    </row>
    <row r="25" spans="1:6">
      <c r="A25" s="1"/>
      <c r="B25" s="1"/>
      <c r="C25" s="1"/>
      <c r="D25" s="1"/>
      <c r="E25" s="1"/>
      <c r="F25" s="1"/>
    </row>
    <row r="26" spans="1:6" ht="23.05" customHeight="1">
      <c r="A26" s="201" t="s">
        <v>98</v>
      </c>
      <c r="B26" s="201"/>
      <c r="C26" s="201"/>
      <c r="D26" s="201"/>
      <c r="E26" s="201"/>
      <c r="F26" s="201"/>
    </row>
    <row r="27" spans="1:6">
      <c r="A27" s="1" t="s">
        <v>99</v>
      </c>
      <c r="B27" s="49">
        <v>0.1</v>
      </c>
      <c r="C27" s="1"/>
      <c r="D27" s="1"/>
      <c r="E27" s="1"/>
      <c r="F27" s="1"/>
    </row>
    <row r="28" spans="1:6">
      <c r="A28" s="1" t="s">
        <v>100</v>
      </c>
      <c r="B28" s="44">
        <v>9000000</v>
      </c>
      <c r="C28" s="1"/>
      <c r="D28" s="1"/>
      <c r="E28" s="1"/>
      <c r="F28" s="1"/>
    </row>
    <row r="29" spans="1:6">
      <c r="A29" s="1" t="s">
        <v>101</v>
      </c>
      <c r="B29" s="49">
        <v>7.0000000000000007E-2</v>
      </c>
      <c r="C29" s="1"/>
      <c r="D29" s="1"/>
      <c r="E29" s="1"/>
      <c r="F29" s="1"/>
    </row>
    <row r="30" spans="1:6">
      <c r="A30" s="1" t="s">
        <v>102</v>
      </c>
      <c r="B30" s="49">
        <v>0.03</v>
      </c>
      <c r="C30" s="1"/>
      <c r="D30" s="1"/>
      <c r="E30" s="1"/>
      <c r="F30" s="1"/>
    </row>
    <row r="31" spans="1:6">
      <c r="A31" s="1" t="s">
        <v>103</v>
      </c>
      <c r="B31" s="44">
        <v>120000000</v>
      </c>
      <c r="C31" s="1"/>
      <c r="D31" s="1"/>
      <c r="E31" s="1"/>
      <c r="F31" s="1"/>
    </row>
    <row r="32" spans="1:6">
      <c r="A32" s="1" t="s">
        <v>104</v>
      </c>
      <c r="B32" s="49">
        <v>0.06</v>
      </c>
      <c r="C32" s="2" t="s">
        <v>105</v>
      </c>
      <c r="D32" s="1"/>
      <c r="E32" s="1"/>
      <c r="F32" s="1"/>
    </row>
    <row r="33" spans="1:6">
      <c r="A33" s="1"/>
      <c r="B33" s="1"/>
      <c r="C33" s="1"/>
      <c r="D33" s="1"/>
      <c r="E33" s="1"/>
      <c r="F33" s="1"/>
    </row>
    <row r="34" spans="1:6" ht="23.05" customHeight="1">
      <c r="A34" s="201" t="s">
        <v>106</v>
      </c>
      <c r="B34" s="201"/>
      <c r="C34" s="201"/>
      <c r="D34" s="201"/>
      <c r="E34" s="201"/>
      <c r="F34" s="201"/>
    </row>
    <row r="35" spans="1:6">
      <c r="A35" s="1" t="s">
        <v>107</v>
      </c>
      <c r="B35" s="49">
        <v>0.6</v>
      </c>
      <c r="C35" s="1"/>
      <c r="D35" s="1"/>
      <c r="E35" s="1"/>
      <c r="F35" s="1"/>
    </row>
    <row r="36" spans="1:6">
      <c r="A36" s="1" t="s">
        <v>108</v>
      </c>
      <c r="B36" s="49">
        <v>1.4999999999999999E-2</v>
      </c>
      <c r="C36" s="1"/>
      <c r="D36" s="1"/>
      <c r="E36" s="1"/>
      <c r="F36" s="1"/>
    </row>
    <row r="37" spans="1:6">
      <c r="A37" s="1"/>
      <c r="B37" s="1"/>
      <c r="C37" s="1"/>
      <c r="D37" s="1"/>
      <c r="E37" s="1"/>
      <c r="F37" s="1"/>
    </row>
    <row r="38" spans="1:6" ht="23.05" customHeight="1">
      <c r="A38" s="201" t="s">
        <v>109</v>
      </c>
      <c r="B38" s="201"/>
      <c r="C38" s="201"/>
      <c r="D38" s="201"/>
      <c r="E38" s="201"/>
      <c r="F38" s="201"/>
    </row>
    <row r="39" spans="1:6">
      <c r="A39" s="1" t="s">
        <v>110</v>
      </c>
      <c r="B39" s="43">
        <v>3</v>
      </c>
      <c r="C39" s="1"/>
      <c r="D39" s="1"/>
      <c r="E39" s="1"/>
      <c r="F39" s="1"/>
    </row>
    <row r="40" spans="1:6">
      <c r="A40" s="1" t="s">
        <v>111</v>
      </c>
      <c r="B40" s="43">
        <v>18</v>
      </c>
      <c r="C40" s="1"/>
      <c r="D40" s="1"/>
      <c r="E40" s="1"/>
      <c r="F40" s="1"/>
    </row>
    <row r="41" spans="1:6">
      <c r="A41" s="1" t="s">
        <v>112</v>
      </c>
      <c r="B41" s="43">
        <v>6</v>
      </c>
      <c r="C41" s="1"/>
      <c r="D41" s="1"/>
      <c r="E41" s="1"/>
      <c r="F41" s="1"/>
    </row>
    <row r="42" spans="1:6">
      <c r="A42" s="1" t="s">
        <v>113</v>
      </c>
      <c r="B42" s="49">
        <v>0.2</v>
      </c>
      <c r="C42" s="1"/>
      <c r="D42" s="1"/>
      <c r="E42" s="1"/>
      <c r="F42" s="1"/>
    </row>
    <row r="43" spans="1:6">
      <c r="A43" s="1"/>
      <c r="B43" s="1"/>
      <c r="C43" s="1"/>
      <c r="D43" s="1"/>
      <c r="E43" s="1"/>
      <c r="F43" s="1"/>
    </row>
    <row r="44" spans="1:6" ht="23.05" customHeight="1">
      <c r="A44" s="201" t="s">
        <v>114</v>
      </c>
      <c r="B44" s="201"/>
      <c r="C44" s="201"/>
      <c r="D44" s="201"/>
      <c r="E44" s="201"/>
      <c r="F44" s="201"/>
    </row>
    <row r="45" spans="1:6">
      <c r="A45" s="1" t="s">
        <v>115</v>
      </c>
      <c r="B45" s="49">
        <v>0.9</v>
      </c>
      <c r="C45" s="1"/>
      <c r="D45" s="1"/>
      <c r="E45" s="1"/>
      <c r="F45" s="1"/>
    </row>
    <row r="46" spans="1:6">
      <c r="A46" s="1" t="s">
        <v>116</v>
      </c>
      <c r="B46" s="51">
        <f>1-B45</f>
        <v>9.9999999999999978E-2</v>
      </c>
      <c r="C46" s="1"/>
      <c r="D46" s="1"/>
      <c r="E46" s="1"/>
      <c r="F46" s="1"/>
    </row>
    <row r="47" spans="1:6">
      <c r="A47" s="1" t="s">
        <v>117</v>
      </c>
      <c r="B47" s="49">
        <v>0.12</v>
      </c>
      <c r="C47" s="1"/>
      <c r="D47" s="1"/>
      <c r="E47" s="1"/>
      <c r="F47" s="1"/>
    </row>
    <row r="48" spans="1:6">
      <c r="A48" s="1" t="s">
        <v>118</v>
      </c>
      <c r="B48" s="49">
        <v>0.2</v>
      </c>
      <c r="C48" s="1"/>
      <c r="D48" s="1"/>
      <c r="E48" s="1"/>
      <c r="F48" s="1"/>
    </row>
    <row r="49" spans="1:6">
      <c r="A49" s="1"/>
      <c r="B49" s="1"/>
      <c r="C49" s="1"/>
      <c r="D49" s="1"/>
      <c r="E49" s="1"/>
      <c r="F49" s="1"/>
    </row>
    <row r="50" spans="1:6" ht="23.05" customHeight="1">
      <c r="A50" s="201" t="s">
        <v>119</v>
      </c>
      <c r="B50" s="201"/>
      <c r="C50" s="201"/>
      <c r="D50" s="201"/>
      <c r="E50" s="201"/>
      <c r="F50" s="201"/>
    </row>
    <row r="51" spans="1:6">
      <c r="A51" s="1" t="s">
        <v>120</v>
      </c>
      <c r="B51" s="49">
        <v>0.18</v>
      </c>
      <c r="C51" s="1"/>
      <c r="D51" s="1"/>
      <c r="E51" s="1"/>
      <c r="F51" s="1"/>
    </row>
    <row r="52" spans="1:6">
      <c r="A52" s="1"/>
      <c r="B52" s="1"/>
      <c r="C52" s="1"/>
      <c r="D52" s="1"/>
      <c r="E52" s="1"/>
      <c r="F52" s="1"/>
    </row>
    <row r="53" spans="1:6" ht="23.05" customHeight="1">
      <c r="A53" s="201" t="s">
        <v>121</v>
      </c>
      <c r="B53" s="201"/>
      <c r="C53" s="201"/>
      <c r="D53" s="201"/>
      <c r="E53" s="201"/>
      <c r="F53" s="201"/>
    </row>
    <row r="54" spans="1:6">
      <c r="A54" s="1" t="s">
        <v>122</v>
      </c>
      <c r="B54" s="56">
        <f>B12</f>
        <v>95</v>
      </c>
      <c r="C54" s="1"/>
      <c r="D54" s="1"/>
      <c r="E54" s="1"/>
      <c r="F54" s="1"/>
    </row>
    <row r="55" spans="1:6">
      <c r="A55" s="1" t="s">
        <v>123</v>
      </c>
      <c r="B55" s="56">
        <f>E12</f>
        <v>7064</v>
      </c>
      <c r="C55" s="1"/>
      <c r="D55" s="1"/>
      <c r="E55" s="1"/>
      <c r="F55" s="1"/>
    </row>
    <row r="56" spans="1:6">
      <c r="A56" s="1" t="s">
        <v>124</v>
      </c>
      <c r="B56" s="56">
        <f>B24</f>
        <v>8830</v>
      </c>
      <c r="C56" s="1"/>
      <c r="D56" s="1"/>
      <c r="E56" s="1"/>
      <c r="F56" s="1"/>
    </row>
    <row r="57" spans="1:6">
      <c r="A57" s="1" t="s">
        <v>125</v>
      </c>
      <c r="B57" s="57">
        <f>F12*E17</f>
        <v>1027136000</v>
      </c>
      <c r="C57" s="1"/>
      <c r="D57" s="1"/>
      <c r="E57" s="1"/>
      <c r="F57" s="1"/>
    </row>
    <row r="58" spans="1:6">
      <c r="A58" s="1" t="s">
        <v>126</v>
      </c>
      <c r="B58" s="57">
        <f>F13</f>
        <v>84000000</v>
      </c>
      <c r="C58" s="1"/>
      <c r="D58" s="1"/>
      <c r="E58" s="1"/>
      <c r="F58" s="1"/>
    </row>
    <row r="59" spans="1:6">
      <c r="A59" s="1" t="s">
        <v>127</v>
      </c>
      <c r="B59" s="57">
        <f>B57+B58</f>
        <v>1111136000</v>
      </c>
      <c r="C59" s="1"/>
      <c r="D59" s="1"/>
      <c r="E59" s="1"/>
      <c r="F59" s="1"/>
    </row>
    <row r="60" spans="1:6">
      <c r="A60" s="1" t="s">
        <v>128</v>
      </c>
      <c r="B60" s="57">
        <f>B57/B54</f>
        <v>10811957.894736841</v>
      </c>
      <c r="C60" s="1"/>
      <c r="D60" s="1"/>
      <c r="E60" s="1"/>
      <c r="F60" s="1"/>
    </row>
    <row r="61" spans="1:6">
      <c r="A61" s="1" t="s">
        <v>129</v>
      </c>
      <c r="B61" s="57">
        <f>B56*E18</f>
        <v>600440000</v>
      </c>
      <c r="C61" s="1"/>
      <c r="D61" s="1"/>
      <c r="E61" s="1"/>
      <c r="F61" s="1"/>
    </row>
    <row r="62" spans="1:6">
      <c r="A62" s="1" t="s">
        <v>47</v>
      </c>
      <c r="B62" s="57">
        <f>B61*B27</f>
        <v>60044000</v>
      </c>
      <c r="C62" s="1"/>
      <c r="D62" s="1"/>
      <c r="E62" s="1"/>
      <c r="F62" s="1"/>
    </row>
    <row r="63" spans="1:6">
      <c r="A63" s="1" t="s">
        <v>48</v>
      </c>
      <c r="B63" s="57">
        <f>(B61+B62)*B29</f>
        <v>46233880.000000007</v>
      </c>
      <c r="C63" s="1"/>
      <c r="D63" s="1"/>
      <c r="E63" s="1"/>
      <c r="F63" s="1"/>
    </row>
    <row r="64" spans="1:6">
      <c r="A64" s="1" t="s">
        <v>130</v>
      </c>
      <c r="B64" s="57">
        <f>B28</f>
        <v>9000000</v>
      </c>
      <c r="C64" s="1"/>
      <c r="D64" s="1"/>
      <c r="E64" s="1"/>
      <c r="F64" s="1"/>
    </row>
    <row r="65" spans="1:6">
      <c r="A65" s="1" t="s">
        <v>50</v>
      </c>
      <c r="B65" s="57">
        <f>B59*B30</f>
        <v>33334080</v>
      </c>
      <c r="C65" s="1"/>
      <c r="D65" s="1"/>
      <c r="E65" s="1"/>
      <c r="F65" s="1"/>
    </row>
    <row r="66" spans="1:6">
      <c r="A66" s="1" t="s">
        <v>45</v>
      </c>
      <c r="B66" s="57">
        <f>B31*(1+B32)</f>
        <v>127200000</v>
      </c>
      <c r="C66" s="1"/>
      <c r="D66" s="1"/>
      <c r="E66" s="1"/>
      <c r="F66" s="1"/>
    </row>
    <row r="67" spans="1:6">
      <c r="A67" s="1" t="s">
        <v>131</v>
      </c>
      <c r="B67" s="57">
        <f>B62+B63+B64</f>
        <v>115277880</v>
      </c>
      <c r="C67" s="1"/>
      <c r="D67" s="1"/>
      <c r="E67" s="1"/>
      <c r="F67" s="1"/>
    </row>
    <row r="68" spans="1:6">
      <c r="A68" s="35" t="s">
        <v>132</v>
      </c>
      <c r="B68" s="58">
        <f>B61+B62+B63+B64+B65+B66</f>
        <v>876251960</v>
      </c>
      <c r="C68" s="1"/>
      <c r="D68" s="1"/>
      <c r="E68" s="1"/>
      <c r="F68" s="1"/>
    </row>
    <row r="69" spans="1:6">
      <c r="A69" s="35" t="s">
        <v>133</v>
      </c>
      <c r="B69" s="59">
        <f>B39+B40</f>
        <v>21</v>
      </c>
      <c r="C69" s="1"/>
      <c r="D69" s="1"/>
      <c r="E69" s="1"/>
      <c r="F69" s="1"/>
    </row>
    <row r="70" spans="1:6">
      <c r="A70" s="34" t="s">
        <v>134</v>
      </c>
      <c r="B70" s="60">
        <f>E19/12</f>
        <v>1.3333333333333334E-2</v>
      </c>
      <c r="C70" s="1"/>
      <c r="D70" s="1"/>
      <c r="E70" s="1"/>
      <c r="F70" s="1"/>
    </row>
    <row r="71" spans="1:6">
      <c r="A71" s="1"/>
      <c r="B71" s="1"/>
      <c r="C71" s="1"/>
      <c r="D71" s="1"/>
      <c r="E71" s="1"/>
      <c r="F71" s="1"/>
    </row>
    <row r="72" spans="1:6" ht="23.05" customHeight="1">
      <c r="A72" s="201" t="s">
        <v>135</v>
      </c>
      <c r="B72" s="201"/>
      <c r="C72" s="201"/>
      <c r="D72" s="201"/>
      <c r="E72" s="201"/>
      <c r="F72" s="201"/>
    </row>
    <row r="73" spans="1:6">
      <c r="A73" s="1" t="s">
        <v>136</v>
      </c>
      <c r="B73" s="49">
        <v>0.06</v>
      </c>
      <c r="C73" s="2" t="s">
        <v>137</v>
      </c>
      <c r="D73" s="1"/>
      <c r="E73" s="1"/>
      <c r="F73" s="1"/>
    </row>
    <row r="74" spans="1:6">
      <c r="A74" s="1" t="s">
        <v>138</v>
      </c>
      <c r="B74" s="49">
        <v>0.05</v>
      </c>
      <c r="C74" s="1"/>
      <c r="D74" s="1"/>
      <c r="E74" s="1"/>
      <c r="F74" s="1"/>
    </row>
    <row r="75" spans="1:6">
      <c r="A75" s="1" t="s">
        <v>139</v>
      </c>
      <c r="B75" s="49">
        <v>0.3</v>
      </c>
      <c r="C75" s="1"/>
      <c r="D75" s="1"/>
      <c r="E75" s="1"/>
      <c r="F75" s="1"/>
    </row>
    <row r="76" spans="1:6">
      <c r="A76" s="1"/>
      <c r="B76" s="1"/>
      <c r="C76" s="1"/>
      <c r="D76" s="1"/>
      <c r="E76" s="1"/>
      <c r="F76" s="1"/>
    </row>
    <row r="77" spans="1:6" ht="23.05" customHeight="1">
      <c r="A77" s="201" t="s">
        <v>140</v>
      </c>
      <c r="B77" s="201"/>
      <c r="C77" s="201"/>
      <c r="D77" s="201"/>
      <c r="E77" s="201"/>
      <c r="F77" s="201"/>
    </row>
    <row r="78" spans="1:6">
      <c r="A78" s="1" t="s">
        <v>141</v>
      </c>
      <c r="B78" s="49">
        <v>0.3</v>
      </c>
      <c r="C78" s="1"/>
      <c r="D78" s="1"/>
      <c r="E78" s="1"/>
      <c r="F78" s="1"/>
    </row>
    <row r="79" spans="1:6">
      <c r="A79" s="1" t="s">
        <v>142</v>
      </c>
      <c r="B79" s="49">
        <v>0.65</v>
      </c>
      <c r="C79" s="1"/>
      <c r="D79" s="1"/>
      <c r="E79" s="1"/>
      <c r="F79" s="1"/>
    </row>
    <row r="80" spans="1:6">
      <c r="A80" s="1"/>
      <c r="B80" s="1"/>
      <c r="C80" s="1"/>
      <c r="D80" s="1"/>
      <c r="E80" s="1"/>
      <c r="F80" s="1"/>
    </row>
    <row r="81" spans="1:6" ht="23.05" customHeight="1">
      <c r="A81" s="201" t="s">
        <v>143</v>
      </c>
      <c r="B81" s="201"/>
      <c r="C81" s="201"/>
      <c r="D81" s="201"/>
      <c r="E81" s="201"/>
      <c r="F81" s="201"/>
    </row>
    <row r="82" spans="1:6">
      <c r="A82" s="1" t="s">
        <v>144</v>
      </c>
      <c r="B82" s="44">
        <v>950</v>
      </c>
      <c r="C82" s="1"/>
      <c r="D82" s="1"/>
      <c r="E82" s="1"/>
      <c r="F82" s="1"/>
    </row>
    <row r="83" spans="1:6">
      <c r="A83" s="1" t="s">
        <v>145</v>
      </c>
      <c r="B83" s="49">
        <v>0.08</v>
      </c>
      <c r="C83" s="1"/>
      <c r="D83" s="1"/>
      <c r="E83" s="1"/>
      <c r="F83" s="1"/>
    </row>
    <row r="84" spans="1:6">
      <c r="A84" s="1" t="s">
        <v>146</v>
      </c>
      <c r="B84" s="49">
        <v>0.3</v>
      </c>
      <c r="C84" s="1"/>
      <c r="D84" s="1"/>
      <c r="E84" s="1"/>
      <c r="F84" s="1"/>
    </row>
    <row r="85" spans="1:6">
      <c r="A85" s="1" t="s">
        <v>147</v>
      </c>
      <c r="B85" s="49">
        <v>8.5000000000000006E-2</v>
      </c>
      <c r="C85" s="1"/>
      <c r="D85" s="1"/>
      <c r="E85" s="1"/>
      <c r="F85" s="1"/>
    </row>
    <row r="86" spans="1:6">
      <c r="A86" s="1"/>
      <c r="B86" s="1"/>
      <c r="C86" s="1"/>
      <c r="D86" s="1"/>
      <c r="E86" s="1"/>
      <c r="F86" s="1"/>
    </row>
    <row r="87" spans="1:6" ht="23.05" customHeight="1">
      <c r="A87" s="201" t="s">
        <v>148</v>
      </c>
      <c r="B87" s="254"/>
      <c r="C87" s="201"/>
      <c r="D87" s="201"/>
      <c r="E87" s="201"/>
      <c r="F87" s="201"/>
    </row>
    <row r="88" spans="1:6">
      <c r="A88" s="1" t="s">
        <v>149</v>
      </c>
      <c r="B88" s="61">
        <f>(1+B73)^(1/12)-1</f>
        <v>4.8675505653430484E-3</v>
      </c>
      <c r="C88" s="1"/>
      <c r="D88" s="1"/>
      <c r="E88" s="1"/>
      <c r="F88" s="1"/>
    </row>
    <row r="89" spans="1:6">
      <c r="A89" s="1" t="s">
        <v>150</v>
      </c>
      <c r="B89" s="61">
        <f>(1+B74)^(1/12)-1</f>
        <v>4.0741237836483535E-3</v>
      </c>
      <c r="C89" s="1"/>
      <c r="D89" s="1"/>
      <c r="E89" s="1"/>
      <c r="F89" s="1"/>
    </row>
  </sheetData>
  <mergeCells count="14">
    <mergeCell ref="A1:F1"/>
    <mergeCell ref="A5:F5"/>
    <mergeCell ref="A15:F15"/>
    <mergeCell ref="A22:F22"/>
    <mergeCell ref="A26:F26"/>
    <mergeCell ref="A72:F72"/>
    <mergeCell ref="A77:F77"/>
    <mergeCell ref="A81:F81"/>
    <mergeCell ref="A87:F87"/>
    <mergeCell ref="A34:F34"/>
    <mergeCell ref="A38:F38"/>
    <mergeCell ref="A44:F44"/>
    <mergeCell ref="A50:F50"/>
    <mergeCell ref="A53:F53"/>
  </mergeCells>
  <dataValidations count="1">
    <dataValidation type="whole" allowBlank="1" showInputMessage="1" showErrorMessage="1" promptTitle="Scenario" prompt="Enter 1 for Base, 2 for Downside, or 3 for Upside." sqref="B2" xr:uid="{23F2AECC-B9CB-4BF9-95A8-FDAA6EAA206C}">
      <formula1>1</formula1>
      <formula2>3</formula2>
    </dataValidation>
  </dataValidations>
  <printOptions horizontalCentered="1"/>
  <pageMargins left="0.27777777777777779" right="0.27777777777777779" top="0.33333333333333331" bottom="0.33333333333333331" header="0.511811023622047" footer="0.511811023622047"/>
  <pageSetup scale="39" orientation="landscape"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64"/>
  <sheetViews>
    <sheetView showGridLines="0" zoomScale="115" zoomScaleNormal="115" workbookViewId="0">
      <pane xSplit="4" ySplit="8" topLeftCell="E9" activePane="bottomRight" state="frozen"/>
      <selection pane="topRight" activeCell="E1" sqref="E1"/>
      <selection pane="bottomLeft" activeCell="A9" sqref="A9"/>
      <selection pane="bottomRight" activeCell="B25" sqref="B25"/>
    </sheetView>
  </sheetViews>
  <sheetFormatPr defaultColWidth="8.68359375" defaultRowHeight="14.4"/>
  <cols>
    <col min="1" max="1" width="18.578125" customWidth="1"/>
    <col min="2" max="3" width="12.578125" customWidth="1"/>
    <col min="4" max="4" width="19.578125" customWidth="1"/>
    <col min="5" max="22" width="12.578125" customWidth="1"/>
  </cols>
  <sheetData>
    <row r="1" spans="1:22" ht="32.049999999999997" customHeight="1">
      <c r="A1" s="255" t="s">
        <v>151</v>
      </c>
      <c r="B1" s="255"/>
      <c r="C1" s="255"/>
      <c r="D1" s="255"/>
      <c r="E1" s="255"/>
      <c r="F1" s="255"/>
      <c r="G1" s="255"/>
      <c r="H1" s="255"/>
      <c r="I1" s="255"/>
      <c r="J1" s="255"/>
      <c r="K1" s="255"/>
      <c r="L1" s="255"/>
      <c r="M1" s="255"/>
      <c r="N1" s="255"/>
      <c r="O1" s="255"/>
      <c r="P1" s="255"/>
      <c r="Q1" s="255"/>
      <c r="R1" s="255"/>
      <c r="S1" s="255"/>
      <c r="T1" s="255"/>
      <c r="U1" s="255"/>
      <c r="V1" s="255"/>
    </row>
    <row r="2" spans="1:22">
      <c r="A2" s="1"/>
      <c r="B2" s="1"/>
      <c r="C2" s="1"/>
      <c r="D2" s="1"/>
      <c r="E2" s="1"/>
      <c r="F2" s="1"/>
      <c r="G2" s="1"/>
      <c r="H2" s="1"/>
      <c r="I2" s="1"/>
      <c r="J2" s="1"/>
      <c r="K2" s="1"/>
      <c r="L2" s="1"/>
      <c r="M2" s="1"/>
      <c r="N2" s="1"/>
      <c r="O2" s="1"/>
      <c r="P2" s="1"/>
      <c r="Q2" s="1"/>
      <c r="R2" s="1"/>
      <c r="S2" s="1"/>
      <c r="T2" s="1"/>
      <c r="U2" s="1"/>
      <c r="V2" s="1"/>
    </row>
    <row r="3" spans="1:22" ht="23.05" customHeight="1">
      <c r="A3" s="201" t="s">
        <v>309</v>
      </c>
      <c r="B3" s="201"/>
      <c r="C3" s="201"/>
      <c r="D3" s="201"/>
      <c r="E3" s="201"/>
      <c r="F3" s="201"/>
      <c r="G3" s="201"/>
      <c r="H3" s="201"/>
      <c r="I3" s="201"/>
      <c r="J3" s="62"/>
      <c r="K3" s="62"/>
      <c r="L3" s="62"/>
      <c r="M3" s="62"/>
      <c r="N3" s="62"/>
      <c r="O3" s="62"/>
      <c r="P3" s="62"/>
      <c r="Q3" s="62"/>
      <c r="R3" s="62"/>
      <c r="S3" s="62"/>
      <c r="T3" s="62"/>
      <c r="U3" s="62"/>
      <c r="V3" s="62"/>
    </row>
    <row r="4" spans="1:22">
      <c r="A4" s="63" t="s">
        <v>70</v>
      </c>
      <c r="B4" s="63" t="s">
        <v>71</v>
      </c>
      <c r="C4" s="63" t="s">
        <v>72</v>
      </c>
      <c r="D4" s="63" t="s">
        <v>152</v>
      </c>
      <c r="E4" s="63" t="s">
        <v>153</v>
      </c>
      <c r="F4" s="63" t="s">
        <v>154</v>
      </c>
      <c r="G4" s="63" t="s">
        <v>155</v>
      </c>
      <c r="H4" s="63" t="s">
        <v>156</v>
      </c>
      <c r="I4" s="63" t="s">
        <v>157</v>
      </c>
      <c r="J4" s="33"/>
      <c r="K4" s="33"/>
      <c r="L4" s="33"/>
      <c r="M4" s="33"/>
      <c r="N4" s="33"/>
      <c r="O4" s="33"/>
      <c r="P4" s="33"/>
      <c r="Q4" s="33"/>
      <c r="R4" s="33"/>
      <c r="S4" s="33"/>
      <c r="T4" s="33"/>
      <c r="U4" s="33"/>
      <c r="V4" s="33"/>
    </row>
    <row r="5" spans="1:22">
      <c r="A5" s="17" t="str">
        <f>Assumptions!A7</f>
        <v>Studio</v>
      </c>
      <c r="B5" s="56">
        <f>Assumptions!B7</f>
        <v>18</v>
      </c>
      <c r="C5" s="56">
        <f>Assumptions!C7</f>
        <v>32</v>
      </c>
      <c r="D5" s="57">
        <f>Assumptions!D7</f>
        <v>155000</v>
      </c>
      <c r="E5" s="41">
        <v>9</v>
      </c>
      <c r="F5" s="65">
        <v>3</v>
      </c>
      <c r="G5" s="66">
        <v>0.06</v>
      </c>
      <c r="H5" s="66">
        <v>0.05</v>
      </c>
      <c r="I5" s="32">
        <v>6</v>
      </c>
      <c r="J5" s="1"/>
      <c r="K5" s="1"/>
      <c r="L5" s="1"/>
      <c r="M5" s="1"/>
      <c r="N5" s="1"/>
      <c r="O5" s="1"/>
      <c r="P5" s="1"/>
      <c r="Q5" s="1"/>
      <c r="R5" s="1"/>
      <c r="S5" s="1"/>
      <c r="T5" s="1"/>
      <c r="U5" s="1"/>
      <c r="V5" s="1"/>
    </row>
    <row r="6" spans="1:22">
      <c r="A6" s="17" t="str">
        <f>Assumptions!A8</f>
        <v>1-bed</v>
      </c>
      <c r="B6" s="56">
        <f>Assumptions!B8</f>
        <v>30</v>
      </c>
      <c r="C6" s="56">
        <f>Assumptions!C8</f>
        <v>52</v>
      </c>
      <c r="D6" s="57">
        <f>Assumptions!D8</f>
        <v>148000</v>
      </c>
      <c r="E6" s="43">
        <v>6</v>
      </c>
      <c r="F6" s="50">
        <v>4</v>
      </c>
      <c r="G6" s="49">
        <v>0.06</v>
      </c>
      <c r="H6" s="49">
        <v>0.05</v>
      </c>
      <c r="I6" s="9">
        <v>8</v>
      </c>
      <c r="J6" s="1"/>
      <c r="K6" s="1"/>
      <c r="L6" s="1"/>
      <c r="M6" s="1"/>
      <c r="N6" s="1"/>
      <c r="O6" s="1"/>
      <c r="P6" s="1"/>
      <c r="Q6" s="1"/>
      <c r="R6" s="1"/>
      <c r="S6" s="1"/>
      <c r="T6" s="1"/>
      <c r="U6" s="1"/>
      <c r="V6" s="1"/>
    </row>
    <row r="7" spans="1:22">
      <c r="A7" s="17" t="str">
        <f>Assumptions!A9</f>
        <v>2-bed</v>
      </c>
      <c r="B7" s="56">
        <f>Assumptions!B9</f>
        <v>28</v>
      </c>
      <c r="C7" s="56">
        <f>Assumptions!C9</f>
        <v>86</v>
      </c>
      <c r="D7" s="57">
        <f>Assumptions!D9</f>
        <v>142000</v>
      </c>
      <c r="E7" s="43">
        <v>7</v>
      </c>
      <c r="F7" s="50">
        <v>4</v>
      </c>
      <c r="G7" s="49">
        <v>0.06</v>
      </c>
      <c r="H7" s="49">
        <v>0.03</v>
      </c>
      <c r="I7" s="9">
        <v>6</v>
      </c>
      <c r="J7" s="1"/>
      <c r="K7" s="1"/>
      <c r="L7" s="1"/>
      <c r="M7" s="1"/>
      <c r="N7" s="1"/>
      <c r="O7" s="1"/>
      <c r="P7" s="1"/>
      <c r="Q7" s="1"/>
      <c r="R7" s="1"/>
      <c r="S7" s="1"/>
      <c r="T7" s="1"/>
      <c r="U7" s="1"/>
      <c r="V7" s="1"/>
    </row>
    <row r="8" spans="1:22">
      <c r="A8" s="17" t="str">
        <f>Assumptions!A10</f>
        <v>3-bed</v>
      </c>
      <c r="B8" s="56">
        <f>Assumptions!B10</f>
        <v>15</v>
      </c>
      <c r="C8" s="56">
        <f>Assumptions!C10</f>
        <v>120</v>
      </c>
      <c r="D8" s="57">
        <f>Assumptions!D10</f>
        <v>138000</v>
      </c>
      <c r="E8" s="43">
        <v>8</v>
      </c>
      <c r="F8" s="50">
        <v>2</v>
      </c>
      <c r="G8" s="49">
        <v>0.06</v>
      </c>
      <c r="H8" s="49">
        <v>0</v>
      </c>
      <c r="I8" s="9">
        <v>0</v>
      </c>
      <c r="J8" s="1"/>
      <c r="K8" s="1"/>
      <c r="L8" s="1"/>
      <c r="M8" s="1"/>
      <c r="N8" s="1"/>
      <c r="O8" s="1"/>
      <c r="P8" s="1"/>
      <c r="Q8" s="1"/>
      <c r="R8" s="1"/>
      <c r="S8" s="1"/>
      <c r="T8" s="1"/>
      <c r="U8" s="1"/>
      <c r="V8" s="1"/>
    </row>
    <row r="9" spans="1:22">
      <c r="A9" s="17" t="str">
        <f>Assumptions!A11</f>
        <v>Penthouse</v>
      </c>
      <c r="B9" s="56">
        <f>Assumptions!B11</f>
        <v>4</v>
      </c>
      <c r="C9" s="56">
        <f>Assumptions!C11</f>
        <v>180</v>
      </c>
      <c r="D9" s="57">
        <f>Assumptions!D11</f>
        <v>162000</v>
      </c>
      <c r="E9" s="43">
        <v>10</v>
      </c>
      <c r="F9" s="50">
        <v>1</v>
      </c>
      <c r="G9" s="49">
        <v>0.06</v>
      </c>
      <c r="H9" s="49">
        <v>0</v>
      </c>
      <c r="I9" s="9">
        <v>0</v>
      </c>
      <c r="J9" s="1"/>
      <c r="K9" s="1"/>
      <c r="L9" s="1"/>
      <c r="M9" s="1"/>
      <c r="N9" s="1"/>
      <c r="O9" s="1"/>
      <c r="P9" s="1"/>
      <c r="Q9" s="1"/>
      <c r="R9" s="1"/>
      <c r="S9" s="1"/>
      <c r="T9" s="1"/>
      <c r="U9" s="1"/>
      <c r="V9" s="1"/>
    </row>
    <row r="10" spans="1:22">
      <c r="A10" s="17" t="str">
        <f>"Parking"</f>
        <v>Parking</v>
      </c>
      <c r="B10" s="56">
        <f>Assumptions!B13</f>
        <v>70</v>
      </c>
      <c r="C10" s="56">
        <f>1</f>
        <v>1</v>
      </c>
      <c r="D10" s="57">
        <f>Assumptions!D13</f>
        <v>1200000</v>
      </c>
      <c r="E10" s="43">
        <v>12</v>
      </c>
      <c r="F10" s="50">
        <v>10</v>
      </c>
      <c r="G10" s="49">
        <v>0.03</v>
      </c>
      <c r="H10" s="49">
        <v>0</v>
      </c>
      <c r="I10" s="9">
        <v>0</v>
      </c>
      <c r="J10" s="1"/>
      <c r="K10" s="1"/>
      <c r="L10" s="1"/>
      <c r="M10" s="1"/>
      <c r="N10" s="1"/>
      <c r="O10" s="1"/>
      <c r="P10" s="1"/>
      <c r="Q10" s="1"/>
      <c r="R10" s="1"/>
      <c r="S10" s="1"/>
      <c r="T10" s="1"/>
      <c r="U10" s="1"/>
      <c r="V10" s="1"/>
    </row>
    <row r="11" spans="1:22">
      <c r="A11" s="1"/>
      <c r="B11" s="1"/>
      <c r="C11" s="1"/>
      <c r="D11" s="1"/>
      <c r="E11" s="1"/>
      <c r="F11" s="1"/>
      <c r="G11" s="1"/>
      <c r="H11" s="1"/>
      <c r="I11" s="1"/>
      <c r="J11" s="1"/>
      <c r="K11" s="1"/>
      <c r="L11" s="1"/>
      <c r="M11" s="1"/>
      <c r="N11" s="1"/>
      <c r="O11" s="1"/>
      <c r="P11" s="1"/>
      <c r="Q11" s="1"/>
      <c r="R11" s="1"/>
      <c r="S11" s="1"/>
      <c r="T11" s="1"/>
      <c r="U11" s="1"/>
      <c r="V11" s="1"/>
    </row>
    <row r="12" spans="1:22" ht="23.05" customHeight="1">
      <c r="A12" s="201" t="s">
        <v>158</v>
      </c>
      <c r="B12" s="201"/>
      <c r="C12" s="201"/>
      <c r="D12" s="201"/>
      <c r="E12" s="201"/>
      <c r="F12" s="201"/>
      <c r="G12" s="201"/>
      <c r="H12" s="201"/>
      <c r="I12" s="201"/>
      <c r="J12" s="62"/>
      <c r="K12" s="62"/>
      <c r="L12" s="62"/>
      <c r="M12" s="62"/>
      <c r="N12" s="62"/>
      <c r="O12" s="62"/>
      <c r="P12" s="62"/>
      <c r="Q12" s="62"/>
      <c r="R12" s="62"/>
      <c r="S12" s="62"/>
      <c r="T12" s="62"/>
      <c r="U12" s="62"/>
      <c r="V12" s="62"/>
    </row>
    <row r="13" spans="1:22">
      <c r="A13" s="1" t="s">
        <v>159</v>
      </c>
      <c r="B13" s="49">
        <v>0.15</v>
      </c>
      <c r="C13" s="2" t="s">
        <v>160</v>
      </c>
      <c r="D13" s="1"/>
      <c r="E13" s="1"/>
      <c r="F13" s="1"/>
      <c r="G13" s="1"/>
      <c r="H13" s="1"/>
      <c r="I13" s="1"/>
      <c r="J13" s="1"/>
      <c r="K13" s="1"/>
      <c r="L13" s="1"/>
      <c r="M13" s="1"/>
      <c r="N13" s="1"/>
      <c r="O13" s="1"/>
      <c r="P13" s="1"/>
      <c r="Q13" s="1"/>
      <c r="R13" s="1"/>
      <c r="S13" s="1"/>
      <c r="T13" s="1"/>
      <c r="U13" s="1"/>
      <c r="V13" s="1"/>
    </row>
    <row r="14" spans="1:22">
      <c r="A14" s="1" t="s">
        <v>161</v>
      </c>
      <c r="B14" s="49">
        <v>0.35</v>
      </c>
      <c r="C14" s="2" t="s">
        <v>162</v>
      </c>
      <c r="D14" s="1"/>
      <c r="E14" s="1"/>
      <c r="F14" s="1"/>
      <c r="G14" s="1"/>
      <c r="H14" s="1"/>
      <c r="I14" s="1"/>
      <c r="J14" s="1"/>
      <c r="K14" s="1"/>
      <c r="L14" s="1"/>
      <c r="M14" s="1"/>
      <c r="N14" s="1"/>
      <c r="O14" s="1"/>
      <c r="P14" s="1"/>
      <c r="Q14" s="1"/>
      <c r="R14" s="1"/>
      <c r="S14" s="1"/>
      <c r="T14" s="1"/>
      <c r="U14" s="1"/>
      <c r="V14" s="1"/>
    </row>
    <row r="15" spans="1:22">
      <c r="A15" s="1" t="s">
        <v>163</v>
      </c>
      <c r="B15" s="43">
        <v>10</v>
      </c>
      <c r="C15" s="2" t="s">
        <v>164</v>
      </c>
      <c r="D15" s="1"/>
      <c r="E15" s="1"/>
      <c r="F15" s="1"/>
      <c r="G15" s="1"/>
      <c r="H15" s="1"/>
      <c r="I15" s="1"/>
      <c r="J15" s="1"/>
      <c r="K15" s="1"/>
      <c r="L15" s="1"/>
      <c r="M15" s="1"/>
      <c r="N15" s="1"/>
      <c r="O15" s="1"/>
      <c r="P15" s="1"/>
      <c r="Q15" s="1"/>
      <c r="R15" s="1"/>
      <c r="S15" s="1"/>
      <c r="T15" s="1"/>
      <c r="U15" s="1"/>
      <c r="V15" s="1"/>
    </row>
    <row r="16" spans="1:22">
      <c r="A16" s="1" t="s">
        <v>165</v>
      </c>
      <c r="B16" s="49">
        <v>0.5</v>
      </c>
      <c r="C16" s="2" t="s">
        <v>166</v>
      </c>
      <c r="D16" s="1"/>
      <c r="E16" s="1"/>
      <c r="F16" s="1"/>
      <c r="G16" s="1"/>
      <c r="H16" s="1"/>
      <c r="I16" s="1"/>
      <c r="J16" s="1"/>
      <c r="K16" s="1"/>
      <c r="L16" s="1"/>
      <c r="M16" s="1"/>
      <c r="N16" s="1"/>
      <c r="O16" s="1"/>
      <c r="P16" s="1"/>
      <c r="Q16" s="1"/>
      <c r="R16" s="1"/>
      <c r="S16" s="1"/>
      <c r="T16" s="1"/>
      <c r="U16" s="1"/>
      <c r="V16" s="1"/>
    </row>
    <row r="17" spans="1:22">
      <c r="A17" s="3" t="s">
        <v>167</v>
      </c>
      <c r="B17" s="51">
        <f>B13+B14+B16</f>
        <v>1</v>
      </c>
      <c r="C17" s="1"/>
      <c r="D17" s="1"/>
      <c r="E17" s="1"/>
      <c r="F17" s="1"/>
      <c r="G17" s="1"/>
      <c r="H17" s="1"/>
      <c r="I17" s="1"/>
      <c r="J17" s="1"/>
      <c r="K17" s="1"/>
      <c r="L17" s="1"/>
      <c r="M17" s="1"/>
      <c r="N17" s="1"/>
      <c r="O17" s="1"/>
      <c r="P17" s="1"/>
      <c r="Q17" s="1"/>
      <c r="R17" s="1"/>
      <c r="S17" s="1"/>
      <c r="T17" s="1"/>
      <c r="U17" s="1"/>
      <c r="V17" s="1"/>
    </row>
    <row r="18" spans="1:22">
      <c r="A18" s="1" t="s">
        <v>168</v>
      </c>
      <c r="B18" s="49">
        <v>2.5000000000000001E-2</v>
      </c>
      <c r="C18" s="2" t="s">
        <v>169</v>
      </c>
      <c r="D18" s="1"/>
      <c r="E18" s="1"/>
      <c r="F18" s="1"/>
      <c r="G18" s="1"/>
      <c r="H18" s="1"/>
      <c r="I18" s="1"/>
      <c r="J18" s="1"/>
      <c r="K18" s="1"/>
      <c r="L18" s="1"/>
      <c r="M18" s="1"/>
      <c r="N18" s="1"/>
      <c r="O18" s="1"/>
      <c r="P18" s="1"/>
      <c r="Q18" s="1"/>
      <c r="R18" s="1"/>
      <c r="S18" s="1"/>
      <c r="T18" s="1"/>
      <c r="U18" s="1"/>
      <c r="V18" s="1"/>
    </row>
    <row r="19" spans="1:22">
      <c r="A19" s="1"/>
      <c r="B19" s="1"/>
      <c r="C19" s="1"/>
      <c r="D19" s="1"/>
      <c r="E19" s="1"/>
      <c r="F19" s="1"/>
      <c r="G19" s="1"/>
      <c r="H19" s="1"/>
      <c r="I19" s="1"/>
      <c r="J19" s="1"/>
      <c r="K19" s="1"/>
      <c r="L19" s="1"/>
      <c r="M19" s="1"/>
      <c r="N19" s="1"/>
      <c r="O19" s="1"/>
      <c r="P19" s="1"/>
      <c r="Q19" s="1"/>
      <c r="R19" s="1"/>
      <c r="S19" s="1"/>
      <c r="T19" s="1"/>
      <c r="U19" s="1"/>
      <c r="V19" s="1"/>
    </row>
    <row r="20" spans="1:22">
      <c r="A20" s="29" t="s">
        <v>170</v>
      </c>
      <c r="B20" s="30"/>
      <c r="C20" s="30"/>
      <c r="D20" s="30"/>
      <c r="E20" s="30"/>
      <c r="F20" s="30"/>
      <c r="G20" s="30"/>
      <c r="H20" s="30"/>
      <c r="I20" s="30"/>
      <c r="J20" s="30"/>
      <c r="K20" s="30"/>
      <c r="L20" s="30"/>
      <c r="M20" s="30"/>
      <c r="N20" s="30"/>
      <c r="O20" s="30"/>
      <c r="P20" s="30"/>
      <c r="Q20" s="30"/>
      <c r="R20" s="30"/>
      <c r="S20" s="30"/>
      <c r="T20" s="30"/>
      <c r="U20" s="30"/>
      <c r="V20" s="30"/>
    </row>
    <row r="21" spans="1:22">
      <c r="A21" s="1"/>
      <c r="B21" s="1"/>
      <c r="C21" s="1"/>
      <c r="D21" s="1"/>
      <c r="E21" s="1"/>
      <c r="F21" s="1"/>
      <c r="G21" s="1"/>
      <c r="H21" s="1"/>
      <c r="I21" s="1"/>
      <c r="J21" s="1"/>
      <c r="K21" s="1"/>
      <c r="L21" s="1"/>
      <c r="M21" s="1"/>
      <c r="N21" s="1"/>
      <c r="O21" s="1"/>
      <c r="P21" s="1"/>
      <c r="Q21" s="1"/>
      <c r="R21" s="1"/>
      <c r="S21" s="1"/>
      <c r="T21" s="1"/>
      <c r="U21" s="1"/>
      <c r="V21" s="1"/>
    </row>
    <row r="22" spans="1:22">
      <c r="A22" s="1"/>
      <c r="B22" s="1"/>
      <c r="C22" s="1"/>
      <c r="D22" s="1"/>
      <c r="E22" s="1"/>
      <c r="F22" s="1"/>
      <c r="G22" s="1"/>
      <c r="H22" s="1"/>
      <c r="I22" s="1"/>
      <c r="J22" s="1"/>
      <c r="K22" s="1"/>
      <c r="L22" s="1"/>
      <c r="M22" s="1"/>
      <c r="N22" s="1"/>
      <c r="O22" s="1"/>
      <c r="P22" s="1"/>
      <c r="Q22" s="1"/>
      <c r="R22" s="1"/>
      <c r="S22" s="1"/>
      <c r="T22" s="1"/>
      <c r="U22" s="1"/>
      <c r="V22" s="1"/>
    </row>
    <row r="23" spans="1:22">
      <c r="A23" s="1"/>
      <c r="B23" s="1"/>
      <c r="C23" s="1"/>
      <c r="D23" s="1"/>
      <c r="E23" s="1"/>
      <c r="F23" s="1"/>
      <c r="G23" s="1"/>
      <c r="H23" s="1"/>
      <c r="I23" s="1"/>
      <c r="J23" s="1"/>
      <c r="K23" s="1"/>
      <c r="L23" s="1"/>
      <c r="M23" s="1"/>
      <c r="N23" s="1"/>
      <c r="O23" s="1"/>
      <c r="P23" s="1"/>
      <c r="Q23" s="1"/>
      <c r="R23" s="1"/>
      <c r="S23" s="1"/>
      <c r="T23" s="1"/>
      <c r="U23" s="1"/>
      <c r="V23" s="1"/>
    </row>
    <row r="24" spans="1:22">
      <c r="A24" s="64" t="s">
        <v>32</v>
      </c>
      <c r="B24" s="64" t="s">
        <v>171</v>
      </c>
      <c r="C24" s="64" t="s">
        <v>172</v>
      </c>
      <c r="D24" s="64" t="s">
        <v>173</v>
      </c>
      <c r="E24" s="64" t="s">
        <v>174</v>
      </c>
      <c r="F24" s="64" t="s">
        <v>175</v>
      </c>
      <c r="G24" s="64" t="s">
        <v>176</v>
      </c>
      <c r="H24" s="64" t="s">
        <v>177</v>
      </c>
      <c r="I24" s="64" t="s">
        <v>178</v>
      </c>
      <c r="J24" s="64" t="s">
        <v>179</v>
      </c>
      <c r="K24" s="64" t="s">
        <v>180</v>
      </c>
      <c r="L24" s="64" t="s">
        <v>181</v>
      </c>
      <c r="M24" s="64" t="s">
        <v>182</v>
      </c>
      <c r="N24" s="64" t="s">
        <v>183</v>
      </c>
      <c r="O24" s="64" t="s">
        <v>184</v>
      </c>
      <c r="P24" s="64" t="s">
        <v>185</v>
      </c>
      <c r="Q24" s="64" t="s">
        <v>186</v>
      </c>
      <c r="R24" s="64" t="s">
        <v>187</v>
      </c>
      <c r="S24" s="64" t="s">
        <v>188</v>
      </c>
      <c r="T24" s="64" t="s">
        <v>189</v>
      </c>
      <c r="U24" s="64" t="s">
        <v>190</v>
      </c>
      <c r="V24" s="64" t="s">
        <v>191</v>
      </c>
    </row>
    <row r="25" spans="1:22">
      <c r="A25" s="1">
        <v>0</v>
      </c>
      <c r="B25" s="18">
        <f t="shared" ref="B25:B61" si="0">MAX(0,MIN($B$5,(A25-$E$5+1)*$F$5))-MAX(0,MIN($B$5,(A25-$E$5)*$F$5))</f>
        <v>0</v>
      </c>
      <c r="C25" s="18">
        <f t="shared" ref="C25:C61" si="1">MAX(0,MIN($B$6,(A25-$E$6+1)*$F$6))-MAX(0,MIN($B$6,(A25-$E$6)*$F$6))</f>
        <v>0</v>
      </c>
      <c r="D25" s="18">
        <f t="shared" ref="D25:D61" si="2">MAX(0,MIN($B$7,(A25-$E$7+1)*$F$7))-MAX(0,MIN($B$7,(A25-$E$7)*$F$7))</f>
        <v>0</v>
      </c>
      <c r="E25" s="18">
        <f t="shared" ref="E25:E61" si="3">MAX(0,MIN($B$8,(A25-$E$8+1)*$F$8))-MAX(0,MIN($B$8,(A25-$E$8)*$F$8))</f>
        <v>0</v>
      </c>
      <c r="F25" s="18">
        <f t="shared" ref="F25:F61" si="4">MAX(0,MIN($B$9,(A25-$E$9+1)*$F$9))-MAX(0,MIN($B$9,(A25-$E$9)*$F$9))</f>
        <v>0</v>
      </c>
      <c r="G25" s="18">
        <f t="shared" ref="G25:G61" si="5">MAX(0,MIN($B$10,(A25-$E$10+1)*$F$10))-MAX(0,MIN($B$10,(A25-$E$10)*$F$10))</f>
        <v>0</v>
      </c>
      <c r="H25" s="18">
        <f t="shared" ref="H25:H61" si="6">SUM(B25:F25)</f>
        <v>0</v>
      </c>
      <c r="I25" s="18">
        <f>H25</f>
        <v>0</v>
      </c>
      <c r="J25" s="19">
        <f>B25*$C$5*$D$5*Assumptions!$E$17*(1+$G$5/12)^MAX(0,A25-$E$5)*IF(AND(A25&gt;=$E$5,(A25-$E$5)&lt;ROUNDUP($I$5/MAX($F$5,1),0)),1-$H$5,1)</f>
        <v>0</v>
      </c>
      <c r="K25" s="19">
        <f>C25*$C$6*$D$6*Assumptions!$E$17*(1+$G$6/12)^MAX(0,A25-$E$6)*IF(AND(A25&gt;=$E$6,(A25-$E$6)&lt;ROUNDUP($I$6/MAX($F$6,1),0)),1-$H$6,1)</f>
        <v>0</v>
      </c>
      <c r="L25" s="19">
        <f>D25*$C$7*$D$7*Assumptions!$E$17*(1+$G$7/12)^MAX(0,A25-$E$7)*IF(AND(A25&gt;=$E$7,(A25-$E$7)&lt;ROUNDUP($I$7/MAX($F$7,1),0)),1-$H$7,1)</f>
        <v>0</v>
      </c>
      <c r="M25" s="19">
        <f>E25*$C$8*$D$8*Assumptions!$E$17*(1+$G$8/12)^MAX(0,A25-$E$8)*IF(AND(A25&gt;=$E$8,(A25-$E$8)&lt;ROUNDUP($I$8/MAX($F$8,1),0)),1-$H$8,1)</f>
        <v>0</v>
      </c>
      <c r="N25" s="19">
        <f>F25*$C$9*$D$9*Assumptions!$E$17*(1+$G$9/12)^MAX(0,A25-$E$9)*IF(AND(A25&gt;=$E$9,(A25-$E$9)&lt;ROUNDUP($I$9/MAX($F$9,1),0)),1-$H$9,1)</f>
        <v>0</v>
      </c>
      <c r="O25" s="19">
        <f>G25*$C$10*$D$10*Assumptions!$E$17*(1+$G$10/12)^MAX(0,A25-$E$10)*IF(AND(A25&gt;=$E$10,(A25-$E$10)&lt;ROUNDUP($I$10/MAX($F$10,1),0)),1-$H$10,1)</f>
        <v>0</v>
      </c>
      <c r="P25" s="19">
        <f t="shared" ref="P25:P61" si="7">SUM(J25:O25)</f>
        <v>0</v>
      </c>
      <c r="Q25" s="19">
        <f>P25</f>
        <v>0</v>
      </c>
      <c r="R25" s="19">
        <f t="shared" ref="R25:R61" si="8">$B$13*P25</f>
        <v>0</v>
      </c>
      <c r="S25" s="19">
        <f t="shared" ref="S25:S61" si="9">IF(A25&lt;$B$15,0,IF(A25=$B$15,$B$14*Q25,$B$14*P25))</f>
        <v>0</v>
      </c>
      <c r="T25" s="19">
        <f>IF(A25&lt;Assumptions!$B$69,0,IF(A25=Assumptions!$B$69,$B$16*Q25,$B$16*P25))</f>
        <v>0</v>
      </c>
      <c r="U25" s="19">
        <f t="shared" ref="U25:U61" si="10">R25+S25+T25</f>
        <v>0</v>
      </c>
      <c r="V25" s="19">
        <f t="shared" ref="V25:V61" si="11">$B$18*P25</f>
        <v>0</v>
      </c>
    </row>
    <row r="26" spans="1:22">
      <c r="A26" s="1">
        <v>1</v>
      </c>
      <c r="B26" s="18">
        <f t="shared" si="0"/>
        <v>0</v>
      </c>
      <c r="C26" s="18">
        <f t="shared" si="1"/>
        <v>0</v>
      </c>
      <c r="D26" s="18">
        <f t="shared" si="2"/>
        <v>0</v>
      </c>
      <c r="E26" s="18">
        <f t="shared" si="3"/>
        <v>0</v>
      </c>
      <c r="F26" s="18">
        <f t="shared" si="4"/>
        <v>0</v>
      </c>
      <c r="G26" s="18">
        <f t="shared" si="5"/>
        <v>0</v>
      </c>
      <c r="H26" s="18">
        <f t="shared" si="6"/>
        <v>0</v>
      </c>
      <c r="I26" s="18">
        <f t="shared" ref="I26:I61" si="12">I25+H26</f>
        <v>0</v>
      </c>
      <c r="J26" s="19">
        <f>B26*$C$5*$D$5*Assumptions!$E$17*(1+$G$5/12)^MAX(0,A26-$E$5)*IF(AND(A26&gt;=$E$5,(A26-$E$5)&lt;ROUNDUP($I$5/MAX($F$5,1),0)),1-$H$5,1)</f>
        <v>0</v>
      </c>
      <c r="K26" s="19">
        <f>C26*$C$6*$D$6*Assumptions!$E$17*(1+$G$6/12)^MAX(0,A26-$E$6)*IF(AND(A26&gt;=$E$6,(A26-$E$6)&lt;ROUNDUP($I$6/MAX($F$6,1),0)),1-$H$6,1)</f>
        <v>0</v>
      </c>
      <c r="L26" s="19">
        <f>D26*$C$7*$D$7*Assumptions!$E$17*(1+$G$7/12)^MAX(0,A26-$E$7)*IF(AND(A26&gt;=$E$7,(A26-$E$7)&lt;ROUNDUP($I$7/MAX($F$7,1),0)),1-$H$7,1)</f>
        <v>0</v>
      </c>
      <c r="M26" s="19">
        <f>E26*$C$8*$D$8*Assumptions!$E$17*(1+$G$8/12)^MAX(0,A26-$E$8)*IF(AND(A26&gt;=$E$8,(A26-$E$8)&lt;ROUNDUP($I$8/MAX($F$8,1),0)),1-$H$8,1)</f>
        <v>0</v>
      </c>
      <c r="N26" s="19">
        <f>F26*$C$9*$D$9*Assumptions!$E$17*(1+$G$9/12)^MAX(0,A26-$E$9)*IF(AND(A26&gt;=$E$9,(A26-$E$9)&lt;ROUNDUP($I$9/MAX($F$9,1),0)),1-$H$9,1)</f>
        <v>0</v>
      </c>
      <c r="O26" s="19">
        <f>G26*$C$10*$D$10*Assumptions!$E$17*(1+$G$10/12)^MAX(0,A26-$E$10)*IF(AND(A26&gt;=$E$10,(A26-$E$10)&lt;ROUNDUP($I$10/MAX($F$10,1),0)),1-$H$10,1)</f>
        <v>0</v>
      </c>
      <c r="P26" s="19">
        <f t="shared" si="7"/>
        <v>0</v>
      </c>
      <c r="Q26" s="19">
        <f t="shared" ref="Q26:Q61" si="13">Q25+P26</f>
        <v>0</v>
      </c>
      <c r="R26" s="19">
        <f t="shared" si="8"/>
        <v>0</v>
      </c>
      <c r="S26" s="19">
        <f t="shared" si="9"/>
        <v>0</v>
      </c>
      <c r="T26" s="19">
        <f>IF(A26&lt;Assumptions!$B$69,0,IF(A26=Assumptions!$B$69,$B$16*Q26,$B$16*P26))</f>
        <v>0</v>
      </c>
      <c r="U26" s="19">
        <f t="shared" si="10"/>
        <v>0</v>
      </c>
      <c r="V26" s="19">
        <f t="shared" si="11"/>
        <v>0</v>
      </c>
    </row>
    <row r="27" spans="1:22">
      <c r="A27" s="1">
        <v>2</v>
      </c>
      <c r="B27" s="18">
        <f t="shared" si="0"/>
        <v>0</v>
      </c>
      <c r="C27" s="18">
        <f t="shared" si="1"/>
        <v>0</v>
      </c>
      <c r="D27" s="18">
        <f t="shared" si="2"/>
        <v>0</v>
      </c>
      <c r="E27" s="18">
        <f t="shared" si="3"/>
        <v>0</v>
      </c>
      <c r="F27" s="18">
        <f t="shared" si="4"/>
        <v>0</v>
      </c>
      <c r="G27" s="18">
        <f t="shared" si="5"/>
        <v>0</v>
      </c>
      <c r="H27" s="18">
        <f t="shared" si="6"/>
        <v>0</v>
      </c>
      <c r="I27" s="18">
        <f t="shared" si="12"/>
        <v>0</v>
      </c>
      <c r="J27" s="19">
        <f>B27*$C$5*$D$5*Assumptions!$E$17*(1+$G$5/12)^MAX(0,A27-$E$5)*IF(AND(A27&gt;=$E$5,(A27-$E$5)&lt;ROUNDUP($I$5/MAX($F$5,1),0)),1-$H$5,1)</f>
        <v>0</v>
      </c>
      <c r="K27" s="19">
        <f>C27*$C$6*$D$6*Assumptions!$E$17*(1+$G$6/12)^MAX(0,A27-$E$6)*IF(AND(A27&gt;=$E$6,(A27-$E$6)&lt;ROUNDUP($I$6/MAX($F$6,1),0)),1-$H$6,1)</f>
        <v>0</v>
      </c>
      <c r="L27" s="19">
        <f>D27*$C$7*$D$7*Assumptions!$E$17*(1+$G$7/12)^MAX(0,A27-$E$7)*IF(AND(A27&gt;=$E$7,(A27-$E$7)&lt;ROUNDUP($I$7/MAX($F$7,1),0)),1-$H$7,1)</f>
        <v>0</v>
      </c>
      <c r="M27" s="19">
        <f>E27*$C$8*$D$8*Assumptions!$E$17*(1+$G$8/12)^MAX(0,A27-$E$8)*IF(AND(A27&gt;=$E$8,(A27-$E$8)&lt;ROUNDUP($I$8/MAX($F$8,1),0)),1-$H$8,1)</f>
        <v>0</v>
      </c>
      <c r="N27" s="19">
        <f>F27*$C$9*$D$9*Assumptions!$E$17*(1+$G$9/12)^MAX(0,A27-$E$9)*IF(AND(A27&gt;=$E$9,(A27-$E$9)&lt;ROUNDUP($I$9/MAX($F$9,1),0)),1-$H$9,1)</f>
        <v>0</v>
      </c>
      <c r="O27" s="19">
        <f>G27*$C$10*$D$10*Assumptions!$E$17*(1+$G$10/12)^MAX(0,A27-$E$10)*IF(AND(A27&gt;=$E$10,(A27-$E$10)&lt;ROUNDUP($I$10/MAX($F$10,1),0)),1-$H$10,1)</f>
        <v>0</v>
      </c>
      <c r="P27" s="19">
        <f t="shared" si="7"/>
        <v>0</v>
      </c>
      <c r="Q27" s="19">
        <f t="shared" si="13"/>
        <v>0</v>
      </c>
      <c r="R27" s="19">
        <f t="shared" si="8"/>
        <v>0</v>
      </c>
      <c r="S27" s="19">
        <f t="shared" si="9"/>
        <v>0</v>
      </c>
      <c r="T27" s="19">
        <f>IF(A27&lt;Assumptions!$B$69,0,IF(A27=Assumptions!$B$69,$B$16*Q27,$B$16*P27))</f>
        <v>0</v>
      </c>
      <c r="U27" s="19">
        <f t="shared" si="10"/>
        <v>0</v>
      </c>
      <c r="V27" s="19">
        <f t="shared" si="11"/>
        <v>0</v>
      </c>
    </row>
    <row r="28" spans="1:22">
      <c r="A28" s="1">
        <v>3</v>
      </c>
      <c r="B28" s="18">
        <f t="shared" si="0"/>
        <v>0</v>
      </c>
      <c r="C28" s="18">
        <f t="shared" si="1"/>
        <v>0</v>
      </c>
      <c r="D28" s="18">
        <f t="shared" si="2"/>
        <v>0</v>
      </c>
      <c r="E28" s="18">
        <f t="shared" si="3"/>
        <v>0</v>
      </c>
      <c r="F28" s="18">
        <f t="shared" si="4"/>
        <v>0</v>
      </c>
      <c r="G28" s="18">
        <f t="shared" si="5"/>
        <v>0</v>
      </c>
      <c r="H28" s="18">
        <f t="shared" si="6"/>
        <v>0</v>
      </c>
      <c r="I28" s="18">
        <f t="shared" si="12"/>
        <v>0</v>
      </c>
      <c r="J28" s="19">
        <f>B28*$C$5*$D$5*Assumptions!$E$17*(1+$G$5/12)^MAX(0,A28-$E$5)*IF(AND(A28&gt;=$E$5,(A28-$E$5)&lt;ROUNDUP($I$5/MAX($F$5,1),0)),1-$H$5,1)</f>
        <v>0</v>
      </c>
      <c r="K28" s="19">
        <f>C28*$C$6*$D$6*Assumptions!$E$17*(1+$G$6/12)^MAX(0,A28-$E$6)*IF(AND(A28&gt;=$E$6,(A28-$E$6)&lt;ROUNDUP($I$6/MAX($F$6,1),0)),1-$H$6,1)</f>
        <v>0</v>
      </c>
      <c r="L28" s="19">
        <f>D28*$C$7*$D$7*Assumptions!$E$17*(1+$G$7/12)^MAX(0,A28-$E$7)*IF(AND(A28&gt;=$E$7,(A28-$E$7)&lt;ROUNDUP($I$7/MAX($F$7,1),0)),1-$H$7,1)</f>
        <v>0</v>
      </c>
      <c r="M28" s="19">
        <f>E28*$C$8*$D$8*Assumptions!$E$17*(1+$G$8/12)^MAX(0,A28-$E$8)*IF(AND(A28&gt;=$E$8,(A28-$E$8)&lt;ROUNDUP($I$8/MAX($F$8,1),0)),1-$H$8,1)</f>
        <v>0</v>
      </c>
      <c r="N28" s="19">
        <f>F28*$C$9*$D$9*Assumptions!$E$17*(1+$G$9/12)^MAX(0,A28-$E$9)*IF(AND(A28&gt;=$E$9,(A28-$E$9)&lt;ROUNDUP($I$9/MAX($F$9,1),0)),1-$H$9,1)</f>
        <v>0</v>
      </c>
      <c r="O28" s="19">
        <f>G28*$C$10*$D$10*Assumptions!$E$17*(1+$G$10/12)^MAX(0,A28-$E$10)*IF(AND(A28&gt;=$E$10,(A28-$E$10)&lt;ROUNDUP($I$10/MAX($F$10,1),0)),1-$H$10,1)</f>
        <v>0</v>
      </c>
      <c r="P28" s="19">
        <f t="shared" si="7"/>
        <v>0</v>
      </c>
      <c r="Q28" s="19">
        <f t="shared" si="13"/>
        <v>0</v>
      </c>
      <c r="R28" s="19">
        <f t="shared" si="8"/>
        <v>0</v>
      </c>
      <c r="S28" s="19">
        <f t="shared" si="9"/>
        <v>0</v>
      </c>
      <c r="T28" s="19">
        <f>IF(A28&lt;Assumptions!$B$69,0,IF(A28=Assumptions!$B$69,$B$16*Q28,$B$16*P28))</f>
        <v>0</v>
      </c>
      <c r="U28" s="19">
        <f t="shared" si="10"/>
        <v>0</v>
      </c>
      <c r="V28" s="19">
        <f t="shared" si="11"/>
        <v>0</v>
      </c>
    </row>
    <row r="29" spans="1:22">
      <c r="A29" s="1">
        <v>4</v>
      </c>
      <c r="B29" s="18">
        <f t="shared" si="0"/>
        <v>0</v>
      </c>
      <c r="C29" s="18">
        <f t="shared" si="1"/>
        <v>0</v>
      </c>
      <c r="D29" s="18">
        <f t="shared" si="2"/>
        <v>0</v>
      </c>
      <c r="E29" s="18">
        <f t="shared" si="3"/>
        <v>0</v>
      </c>
      <c r="F29" s="18">
        <f t="shared" si="4"/>
        <v>0</v>
      </c>
      <c r="G29" s="18">
        <f t="shared" si="5"/>
        <v>0</v>
      </c>
      <c r="H29" s="18">
        <f t="shared" si="6"/>
        <v>0</v>
      </c>
      <c r="I29" s="18">
        <f t="shared" si="12"/>
        <v>0</v>
      </c>
      <c r="J29" s="19">
        <f>B29*$C$5*$D$5*Assumptions!$E$17*(1+$G$5/12)^MAX(0,A29-$E$5)*IF(AND(A29&gt;=$E$5,(A29-$E$5)&lt;ROUNDUP($I$5/MAX($F$5,1),0)),1-$H$5,1)</f>
        <v>0</v>
      </c>
      <c r="K29" s="19">
        <f>C29*$C$6*$D$6*Assumptions!$E$17*(1+$G$6/12)^MAX(0,A29-$E$6)*IF(AND(A29&gt;=$E$6,(A29-$E$6)&lt;ROUNDUP($I$6/MAX($F$6,1),0)),1-$H$6,1)</f>
        <v>0</v>
      </c>
      <c r="L29" s="19">
        <f>D29*$C$7*$D$7*Assumptions!$E$17*(1+$G$7/12)^MAX(0,A29-$E$7)*IF(AND(A29&gt;=$E$7,(A29-$E$7)&lt;ROUNDUP($I$7/MAX($F$7,1),0)),1-$H$7,1)</f>
        <v>0</v>
      </c>
      <c r="M29" s="19">
        <f>E29*$C$8*$D$8*Assumptions!$E$17*(1+$G$8/12)^MAX(0,A29-$E$8)*IF(AND(A29&gt;=$E$8,(A29-$E$8)&lt;ROUNDUP($I$8/MAX($F$8,1),0)),1-$H$8,1)</f>
        <v>0</v>
      </c>
      <c r="N29" s="19">
        <f>F29*$C$9*$D$9*Assumptions!$E$17*(1+$G$9/12)^MAX(0,A29-$E$9)*IF(AND(A29&gt;=$E$9,(A29-$E$9)&lt;ROUNDUP($I$9/MAX($F$9,1),0)),1-$H$9,1)</f>
        <v>0</v>
      </c>
      <c r="O29" s="19">
        <f>G29*$C$10*$D$10*Assumptions!$E$17*(1+$G$10/12)^MAX(0,A29-$E$10)*IF(AND(A29&gt;=$E$10,(A29-$E$10)&lt;ROUNDUP($I$10/MAX($F$10,1),0)),1-$H$10,1)</f>
        <v>0</v>
      </c>
      <c r="P29" s="19">
        <f t="shared" si="7"/>
        <v>0</v>
      </c>
      <c r="Q29" s="19">
        <f t="shared" si="13"/>
        <v>0</v>
      </c>
      <c r="R29" s="19">
        <f t="shared" si="8"/>
        <v>0</v>
      </c>
      <c r="S29" s="19">
        <f t="shared" si="9"/>
        <v>0</v>
      </c>
      <c r="T29" s="19">
        <f>IF(A29&lt;Assumptions!$B$69,0,IF(A29=Assumptions!$B$69,$B$16*Q29,$B$16*P29))</f>
        <v>0</v>
      </c>
      <c r="U29" s="19">
        <f t="shared" si="10"/>
        <v>0</v>
      </c>
      <c r="V29" s="19">
        <f t="shared" si="11"/>
        <v>0</v>
      </c>
    </row>
    <row r="30" spans="1:22">
      <c r="A30" s="1">
        <v>5</v>
      </c>
      <c r="B30" s="18">
        <f t="shared" si="0"/>
        <v>0</v>
      </c>
      <c r="C30" s="18">
        <f t="shared" si="1"/>
        <v>0</v>
      </c>
      <c r="D30" s="18">
        <f t="shared" si="2"/>
        <v>0</v>
      </c>
      <c r="E30" s="18">
        <f t="shared" si="3"/>
        <v>0</v>
      </c>
      <c r="F30" s="18">
        <f t="shared" si="4"/>
        <v>0</v>
      </c>
      <c r="G30" s="18">
        <f t="shared" si="5"/>
        <v>0</v>
      </c>
      <c r="H30" s="18">
        <f t="shared" si="6"/>
        <v>0</v>
      </c>
      <c r="I30" s="18">
        <f t="shared" si="12"/>
        <v>0</v>
      </c>
      <c r="J30" s="19">
        <f>B30*$C$5*$D$5*Assumptions!$E$17*(1+$G$5/12)^MAX(0,A30-$E$5)*IF(AND(A30&gt;=$E$5,(A30-$E$5)&lt;ROUNDUP($I$5/MAX($F$5,1),0)),1-$H$5,1)</f>
        <v>0</v>
      </c>
      <c r="K30" s="19">
        <f>C30*$C$6*$D$6*Assumptions!$E$17*(1+$G$6/12)^MAX(0,A30-$E$6)*IF(AND(A30&gt;=$E$6,(A30-$E$6)&lt;ROUNDUP($I$6/MAX($F$6,1),0)),1-$H$6,1)</f>
        <v>0</v>
      </c>
      <c r="L30" s="19">
        <f>D30*$C$7*$D$7*Assumptions!$E$17*(1+$G$7/12)^MAX(0,A30-$E$7)*IF(AND(A30&gt;=$E$7,(A30-$E$7)&lt;ROUNDUP($I$7/MAX($F$7,1),0)),1-$H$7,1)</f>
        <v>0</v>
      </c>
      <c r="M30" s="19">
        <f>E30*$C$8*$D$8*Assumptions!$E$17*(1+$G$8/12)^MAX(0,A30-$E$8)*IF(AND(A30&gt;=$E$8,(A30-$E$8)&lt;ROUNDUP($I$8/MAX($F$8,1),0)),1-$H$8,1)</f>
        <v>0</v>
      </c>
      <c r="N30" s="19">
        <f>F30*$C$9*$D$9*Assumptions!$E$17*(1+$G$9/12)^MAX(0,A30-$E$9)*IF(AND(A30&gt;=$E$9,(A30-$E$9)&lt;ROUNDUP($I$9/MAX($F$9,1),0)),1-$H$9,1)</f>
        <v>0</v>
      </c>
      <c r="O30" s="19">
        <f>G30*$C$10*$D$10*Assumptions!$E$17*(1+$G$10/12)^MAX(0,A30-$E$10)*IF(AND(A30&gt;=$E$10,(A30-$E$10)&lt;ROUNDUP($I$10/MAX($F$10,1),0)),1-$H$10,1)</f>
        <v>0</v>
      </c>
      <c r="P30" s="19">
        <f t="shared" si="7"/>
        <v>0</v>
      </c>
      <c r="Q30" s="19">
        <f t="shared" si="13"/>
        <v>0</v>
      </c>
      <c r="R30" s="19">
        <f t="shared" si="8"/>
        <v>0</v>
      </c>
      <c r="S30" s="19">
        <f t="shared" si="9"/>
        <v>0</v>
      </c>
      <c r="T30" s="19">
        <f>IF(A30&lt;Assumptions!$B$69,0,IF(A30=Assumptions!$B$69,$B$16*Q30,$B$16*P30))</f>
        <v>0</v>
      </c>
      <c r="U30" s="19">
        <f t="shared" si="10"/>
        <v>0</v>
      </c>
      <c r="V30" s="19">
        <f t="shared" si="11"/>
        <v>0</v>
      </c>
    </row>
    <row r="31" spans="1:22">
      <c r="A31" s="1">
        <v>6</v>
      </c>
      <c r="B31" s="18">
        <f t="shared" si="0"/>
        <v>0</v>
      </c>
      <c r="C31" s="18">
        <f t="shared" si="1"/>
        <v>4</v>
      </c>
      <c r="D31" s="18">
        <f t="shared" si="2"/>
        <v>0</v>
      </c>
      <c r="E31" s="18">
        <f t="shared" si="3"/>
        <v>0</v>
      </c>
      <c r="F31" s="18">
        <f t="shared" si="4"/>
        <v>0</v>
      </c>
      <c r="G31" s="18">
        <f t="shared" si="5"/>
        <v>0</v>
      </c>
      <c r="H31" s="18">
        <f t="shared" si="6"/>
        <v>4</v>
      </c>
      <c r="I31" s="18">
        <f t="shared" si="12"/>
        <v>4</v>
      </c>
      <c r="J31" s="19">
        <f>B31*$C$5*$D$5*Assumptions!$E$17*(1+$G$5/12)^MAX(0,A31-$E$5)*IF(AND(A31&gt;=$E$5,(A31-$E$5)&lt;ROUNDUP($I$5/MAX($F$5,1),0)),1-$H$5,1)</f>
        <v>0</v>
      </c>
      <c r="K31" s="19">
        <f>C31*$C$6*$D$6*Assumptions!$E$17*(1+$G$6/12)^MAX(0,A31-$E$6)*IF(AND(A31&gt;=$E$6,(A31-$E$6)&lt;ROUNDUP($I$6/MAX($F$6,1),0)),1-$H$6,1)</f>
        <v>29244800</v>
      </c>
      <c r="L31" s="19">
        <f>D31*$C$7*$D$7*Assumptions!$E$17*(1+$G$7/12)^MAX(0,A31-$E$7)*IF(AND(A31&gt;=$E$7,(A31-$E$7)&lt;ROUNDUP($I$7/MAX($F$7,1),0)),1-$H$7,1)</f>
        <v>0</v>
      </c>
      <c r="M31" s="19">
        <f>E31*$C$8*$D$8*Assumptions!$E$17*(1+$G$8/12)^MAX(0,A31-$E$8)*IF(AND(A31&gt;=$E$8,(A31-$E$8)&lt;ROUNDUP($I$8/MAX($F$8,1),0)),1-$H$8,1)</f>
        <v>0</v>
      </c>
      <c r="N31" s="19">
        <f>F31*$C$9*$D$9*Assumptions!$E$17*(1+$G$9/12)^MAX(0,A31-$E$9)*IF(AND(A31&gt;=$E$9,(A31-$E$9)&lt;ROUNDUP($I$9/MAX($F$9,1),0)),1-$H$9,1)</f>
        <v>0</v>
      </c>
      <c r="O31" s="19">
        <f>G31*$C$10*$D$10*Assumptions!$E$17*(1+$G$10/12)^MAX(0,A31-$E$10)*IF(AND(A31&gt;=$E$10,(A31-$E$10)&lt;ROUNDUP($I$10/MAX($F$10,1),0)),1-$H$10,1)</f>
        <v>0</v>
      </c>
      <c r="P31" s="19">
        <f t="shared" si="7"/>
        <v>29244800</v>
      </c>
      <c r="Q31" s="19">
        <f t="shared" si="13"/>
        <v>29244800</v>
      </c>
      <c r="R31" s="19">
        <f t="shared" si="8"/>
        <v>4386720</v>
      </c>
      <c r="S31" s="19">
        <f t="shared" si="9"/>
        <v>0</v>
      </c>
      <c r="T31" s="19">
        <f>IF(A31&lt;Assumptions!$B$69,0,IF(A31=Assumptions!$B$69,$B$16*Q31,$B$16*P31))</f>
        <v>0</v>
      </c>
      <c r="U31" s="19">
        <f t="shared" si="10"/>
        <v>4386720</v>
      </c>
      <c r="V31" s="19">
        <f t="shared" si="11"/>
        <v>731120</v>
      </c>
    </row>
    <row r="32" spans="1:22">
      <c r="A32" s="1">
        <v>7</v>
      </c>
      <c r="B32" s="18">
        <f t="shared" si="0"/>
        <v>0</v>
      </c>
      <c r="C32" s="18">
        <f t="shared" si="1"/>
        <v>4</v>
      </c>
      <c r="D32" s="18">
        <f t="shared" si="2"/>
        <v>4</v>
      </c>
      <c r="E32" s="18">
        <f t="shared" si="3"/>
        <v>0</v>
      </c>
      <c r="F32" s="18">
        <f t="shared" si="4"/>
        <v>0</v>
      </c>
      <c r="G32" s="18">
        <f t="shared" si="5"/>
        <v>0</v>
      </c>
      <c r="H32" s="18">
        <f t="shared" si="6"/>
        <v>8</v>
      </c>
      <c r="I32" s="18">
        <f t="shared" si="12"/>
        <v>12</v>
      </c>
      <c r="J32" s="19">
        <f>B32*$C$5*$D$5*Assumptions!$E$17*(1+$G$5/12)^MAX(0,A32-$E$5)*IF(AND(A32&gt;=$E$5,(A32-$E$5)&lt;ROUNDUP($I$5/MAX($F$5,1),0)),1-$H$5,1)</f>
        <v>0</v>
      </c>
      <c r="K32" s="19">
        <f>C32*$C$6*$D$6*Assumptions!$E$17*(1+$G$6/12)^MAX(0,A32-$E$6)*IF(AND(A32&gt;=$E$6,(A32-$E$6)&lt;ROUNDUP($I$6/MAX($F$6,1),0)),1-$H$6,1)</f>
        <v>29391023.999999996</v>
      </c>
      <c r="L32" s="19">
        <f>D32*$C$7*$D$7*Assumptions!$E$17*(1+$G$7/12)^MAX(0,A32-$E$7)*IF(AND(A32&gt;=$E$7,(A32-$E$7)&lt;ROUNDUP($I$7/MAX($F$7,1),0)),1-$H$7,1)</f>
        <v>47382560</v>
      </c>
      <c r="M32" s="19">
        <f>E32*$C$8*$D$8*Assumptions!$E$17*(1+$G$8/12)^MAX(0,A32-$E$8)*IF(AND(A32&gt;=$E$8,(A32-$E$8)&lt;ROUNDUP($I$8/MAX($F$8,1),0)),1-$H$8,1)</f>
        <v>0</v>
      </c>
      <c r="N32" s="19">
        <f>F32*$C$9*$D$9*Assumptions!$E$17*(1+$G$9/12)^MAX(0,A32-$E$9)*IF(AND(A32&gt;=$E$9,(A32-$E$9)&lt;ROUNDUP($I$9/MAX($F$9,1),0)),1-$H$9,1)</f>
        <v>0</v>
      </c>
      <c r="O32" s="19">
        <f>G32*$C$10*$D$10*Assumptions!$E$17*(1+$G$10/12)^MAX(0,A32-$E$10)*IF(AND(A32&gt;=$E$10,(A32-$E$10)&lt;ROUNDUP($I$10/MAX($F$10,1),0)),1-$H$10,1)</f>
        <v>0</v>
      </c>
      <c r="P32" s="19">
        <f t="shared" si="7"/>
        <v>76773584</v>
      </c>
      <c r="Q32" s="19">
        <f t="shared" si="13"/>
        <v>106018384</v>
      </c>
      <c r="R32" s="19">
        <f t="shared" si="8"/>
        <v>11516037.6</v>
      </c>
      <c r="S32" s="19">
        <f t="shared" si="9"/>
        <v>0</v>
      </c>
      <c r="T32" s="19">
        <f>IF(A32&lt;Assumptions!$B$69,0,IF(A32=Assumptions!$B$69,$B$16*Q32,$B$16*P32))</f>
        <v>0</v>
      </c>
      <c r="U32" s="19">
        <f t="shared" si="10"/>
        <v>11516037.6</v>
      </c>
      <c r="V32" s="19">
        <f t="shared" si="11"/>
        <v>1919339.6</v>
      </c>
    </row>
    <row r="33" spans="1:22">
      <c r="A33" s="1">
        <v>8</v>
      </c>
      <c r="B33" s="18">
        <f t="shared" si="0"/>
        <v>0</v>
      </c>
      <c r="C33" s="18">
        <f t="shared" si="1"/>
        <v>4</v>
      </c>
      <c r="D33" s="18">
        <f t="shared" si="2"/>
        <v>4</v>
      </c>
      <c r="E33" s="18">
        <f t="shared" si="3"/>
        <v>2</v>
      </c>
      <c r="F33" s="18">
        <f t="shared" si="4"/>
        <v>0</v>
      </c>
      <c r="G33" s="18">
        <f t="shared" si="5"/>
        <v>0</v>
      </c>
      <c r="H33" s="18">
        <f t="shared" si="6"/>
        <v>10</v>
      </c>
      <c r="I33" s="18">
        <f t="shared" si="12"/>
        <v>22</v>
      </c>
      <c r="J33" s="19">
        <f>B33*$C$5*$D$5*Assumptions!$E$17*(1+$G$5/12)^MAX(0,A33-$E$5)*IF(AND(A33&gt;=$E$5,(A33-$E$5)&lt;ROUNDUP($I$5/MAX($F$5,1),0)),1-$H$5,1)</f>
        <v>0</v>
      </c>
      <c r="K33" s="19">
        <f>C33*$C$6*$D$6*Assumptions!$E$17*(1+$G$6/12)^MAX(0,A33-$E$6)*IF(AND(A33&gt;=$E$6,(A33-$E$6)&lt;ROUNDUP($I$6/MAX($F$6,1),0)),1-$H$6,1)</f>
        <v>31092609.59999999</v>
      </c>
      <c r="L33" s="19">
        <f>D33*$C$7*$D$7*Assumptions!$E$17*(1+$G$7/12)^MAX(0,A33-$E$7)*IF(AND(A33&gt;=$E$7,(A33-$E$7)&lt;ROUNDUP($I$7/MAX($F$7,1),0)),1-$H$7,1)</f>
        <v>47619472.79999999</v>
      </c>
      <c r="M33" s="19">
        <f>E33*$C$8*$D$8*Assumptions!$E$17*(1+$G$8/12)^MAX(0,A33-$E$8)*IF(AND(A33&gt;=$E$8,(A33-$E$8)&lt;ROUNDUP($I$8/MAX($F$8,1),0)),1-$H$8,1)</f>
        <v>33120000</v>
      </c>
      <c r="N33" s="19">
        <f>F33*$C$9*$D$9*Assumptions!$E$17*(1+$G$9/12)^MAX(0,A33-$E$9)*IF(AND(A33&gt;=$E$9,(A33-$E$9)&lt;ROUNDUP($I$9/MAX($F$9,1),0)),1-$H$9,1)</f>
        <v>0</v>
      </c>
      <c r="O33" s="19">
        <f>G33*$C$10*$D$10*Assumptions!$E$17*(1+$G$10/12)^MAX(0,A33-$E$10)*IF(AND(A33&gt;=$E$10,(A33-$E$10)&lt;ROUNDUP($I$10/MAX($F$10,1),0)),1-$H$10,1)</f>
        <v>0</v>
      </c>
      <c r="P33" s="19">
        <f t="shared" si="7"/>
        <v>111832082.39999998</v>
      </c>
      <c r="Q33" s="19">
        <f t="shared" si="13"/>
        <v>217850466.39999998</v>
      </c>
      <c r="R33" s="19">
        <f t="shared" si="8"/>
        <v>16774812.359999996</v>
      </c>
      <c r="S33" s="19">
        <f t="shared" si="9"/>
        <v>0</v>
      </c>
      <c r="T33" s="19">
        <f>IF(A33&lt;Assumptions!$B$69,0,IF(A33=Assumptions!$B$69,$B$16*Q33,$B$16*P33))</f>
        <v>0</v>
      </c>
      <c r="U33" s="19">
        <f t="shared" si="10"/>
        <v>16774812.359999996</v>
      </c>
      <c r="V33" s="19">
        <f t="shared" si="11"/>
        <v>2795802.0599999996</v>
      </c>
    </row>
    <row r="34" spans="1:22">
      <c r="A34" s="1">
        <v>9</v>
      </c>
      <c r="B34" s="18">
        <f t="shared" si="0"/>
        <v>3</v>
      </c>
      <c r="C34" s="18">
        <f t="shared" si="1"/>
        <v>4</v>
      </c>
      <c r="D34" s="18">
        <f t="shared" si="2"/>
        <v>4</v>
      </c>
      <c r="E34" s="18">
        <f t="shared" si="3"/>
        <v>2</v>
      </c>
      <c r="F34" s="18">
        <f t="shared" si="4"/>
        <v>0</v>
      </c>
      <c r="G34" s="18">
        <f t="shared" si="5"/>
        <v>0</v>
      </c>
      <c r="H34" s="18">
        <f t="shared" si="6"/>
        <v>13</v>
      </c>
      <c r="I34" s="18">
        <f t="shared" si="12"/>
        <v>35</v>
      </c>
      <c r="J34" s="19">
        <f>B34*$C$5*$D$5*Assumptions!$E$17*(1+$G$5/12)^MAX(0,A34-$E$5)*IF(AND(A34&gt;=$E$5,(A34-$E$5)&lt;ROUNDUP($I$5/MAX($F$5,1),0)),1-$H$5,1)</f>
        <v>14136000</v>
      </c>
      <c r="K34" s="19">
        <f>C34*$C$6*$D$6*Assumptions!$E$17*(1+$G$6/12)^MAX(0,A34-$E$6)*IF(AND(A34&gt;=$E$6,(A34-$E$6)&lt;ROUNDUP($I$6/MAX($F$6,1),0)),1-$H$6,1)</f>
        <v>31248072.647999987</v>
      </c>
      <c r="L34" s="19">
        <f>D34*$C$7*$D$7*Assumptions!$E$17*(1+$G$7/12)^MAX(0,A34-$E$7)*IF(AND(A34&gt;=$E$7,(A34-$E$7)&lt;ROUNDUP($I$7/MAX($F$7,1),0)),1-$H$7,1)</f>
        <v>49337701.199999988</v>
      </c>
      <c r="M34" s="19">
        <f>E34*$C$8*$D$8*Assumptions!$E$17*(1+$G$8/12)^MAX(0,A34-$E$8)*IF(AND(A34&gt;=$E$8,(A34-$E$8)&lt;ROUNDUP($I$8/MAX($F$8,1),0)),1-$H$8,1)</f>
        <v>33285599.999999996</v>
      </c>
      <c r="N34" s="19">
        <f>F34*$C$9*$D$9*Assumptions!$E$17*(1+$G$9/12)^MAX(0,A34-$E$9)*IF(AND(A34&gt;=$E$9,(A34-$E$9)&lt;ROUNDUP($I$9/MAX($F$9,1),0)),1-$H$9,1)</f>
        <v>0</v>
      </c>
      <c r="O34" s="19">
        <f>G34*$C$10*$D$10*Assumptions!$E$17*(1+$G$10/12)^MAX(0,A34-$E$10)*IF(AND(A34&gt;=$E$10,(A34-$E$10)&lt;ROUNDUP($I$10/MAX($F$10,1),0)),1-$H$10,1)</f>
        <v>0</v>
      </c>
      <c r="P34" s="19">
        <f t="shared" si="7"/>
        <v>128007373.84799998</v>
      </c>
      <c r="Q34" s="19">
        <f t="shared" si="13"/>
        <v>345857840.24799997</v>
      </c>
      <c r="R34" s="19">
        <f t="shared" si="8"/>
        <v>19201106.077199996</v>
      </c>
      <c r="S34" s="19">
        <f t="shared" si="9"/>
        <v>0</v>
      </c>
      <c r="T34" s="19">
        <f>IF(A34&lt;Assumptions!$B$69,0,IF(A34=Assumptions!$B$69,$B$16*Q34,$B$16*P34))</f>
        <v>0</v>
      </c>
      <c r="U34" s="19">
        <f t="shared" si="10"/>
        <v>19201106.077199996</v>
      </c>
      <c r="V34" s="19">
        <f t="shared" si="11"/>
        <v>3200184.3461999996</v>
      </c>
    </row>
    <row r="35" spans="1:22">
      <c r="A35" s="1">
        <v>10</v>
      </c>
      <c r="B35" s="18">
        <f t="shared" si="0"/>
        <v>3</v>
      </c>
      <c r="C35" s="18">
        <f t="shared" si="1"/>
        <v>4</v>
      </c>
      <c r="D35" s="18">
        <f t="shared" si="2"/>
        <v>4</v>
      </c>
      <c r="E35" s="18">
        <f t="shared" si="3"/>
        <v>2</v>
      </c>
      <c r="F35" s="18">
        <f t="shared" si="4"/>
        <v>1</v>
      </c>
      <c r="G35" s="18">
        <f t="shared" si="5"/>
        <v>0</v>
      </c>
      <c r="H35" s="18">
        <f t="shared" si="6"/>
        <v>14</v>
      </c>
      <c r="I35" s="18">
        <f t="shared" si="12"/>
        <v>49</v>
      </c>
      <c r="J35" s="19">
        <f>B35*$C$5*$D$5*Assumptions!$E$17*(1+$G$5/12)^MAX(0,A35-$E$5)*IF(AND(A35&gt;=$E$5,(A35-$E$5)&lt;ROUNDUP($I$5/MAX($F$5,1),0)),1-$H$5,1)</f>
        <v>14206679.999999998</v>
      </c>
      <c r="K35" s="19">
        <f>C35*$C$6*$D$6*Assumptions!$E$17*(1+$G$6/12)^MAX(0,A35-$E$6)*IF(AND(A35&gt;=$E$6,(A35-$E$6)&lt;ROUNDUP($I$6/MAX($F$6,1),0)),1-$H$6,1)</f>
        <v>31404313.011239979</v>
      </c>
      <c r="L35" s="19">
        <f>D35*$C$7*$D$7*Assumptions!$E$17*(1+$G$7/12)^MAX(0,A35-$E$7)*IF(AND(A35&gt;=$E$7,(A35-$E$7)&lt;ROUNDUP($I$7/MAX($F$7,1),0)),1-$H$7,1)</f>
        <v>49584389.705999985</v>
      </c>
      <c r="M35" s="19">
        <f>E35*$C$8*$D$8*Assumptions!$E$17*(1+$G$8/12)^MAX(0,A35-$E$8)*IF(AND(A35&gt;=$E$8,(A35-$E$8)&lt;ROUNDUP($I$8/MAX($F$8,1),0)),1-$H$8,1)</f>
        <v>33452027.999999993</v>
      </c>
      <c r="N35" s="19">
        <f>F35*$C$9*$D$9*Assumptions!$E$17*(1+$G$9/12)^MAX(0,A35-$E$9)*IF(AND(A35&gt;=$E$9,(A35-$E$9)&lt;ROUNDUP($I$9/MAX($F$9,1),0)),1-$H$9,1)</f>
        <v>29160000</v>
      </c>
      <c r="O35" s="19">
        <f>G35*$C$10*$D$10*Assumptions!$E$17*(1+$G$10/12)^MAX(0,A35-$E$10)*IF(AND(A35&gt;=$E$10,(A35-$E$10)&lt;ROUNDUP($I$10/MAX($F$10,1),0)),1-$H$10,1)</f>
        <v>0</v>
      </c>
      <c r="P35" s="19">
        <f t="shared" si="7"/>
        <v>157807410.71723995</v>
      </c>
      <c r="Q35" s="19">
        <f t="shared" si="13"/>
        <v>503665250.96523988</v>
      </c>
      <c r="R35" s="19">
        <f t="shared" si="8"/>
        <v>23671111.607585993</v>
      </c>
      <c r="S35" s="19">
        <f t="shared" si="9"/>
        <v>176282837.83783394</v>
      </c>
      <c r="T35" s="19">
        <f>IF(A35&lt;Assumptions!$B$69,0,IF(A35=Assumptions!$B$69,$B$16*Q35,$B$16*P35))</f>
        <v>0</v>
      </c>
      <c r="U35" s="19">
        <f t="shared" si="10"/>
        <v>199953949.44541994</v>
      </c>
      <c r="V35" s="19">
        <f t="shared" si="11"/>
        <v>3945185.2679309989</v>
      </c>
    </row>
    <row r="36" spans="1:22">
      <c r="A36" s="1">
        <v>11</v>
      </c>
      <c r="B36" s="18">
        <f t="shared" si="0"/>
        <v>3</v>
      </c>
      <c r="C36" s="18">
        <f t="shared" si="1"/>
        <v>4</v>
      </c>
      <c r="D36" s="18">
        <f t="shared" si="2"/>
        <v>4</v>
      </c>
      <c r="E36" s="18">
        <f t="shared" si="3"/>
        <v>2</v>
      </c>
      <c r="F36" s="18">
        <f t="shared" si="4"/>
        <v>1</v>
      </c>
      <c r="G36" s="18">
        <f t="shared" si="5"/>
        <v>0</v>
      </c>
      <c r="H36" s="18">
        <f t="shared" si="6"/>
        <v>14</v>
      </c>
      <c r="I36" s="18">
        <f t="shared" si="12"/>
        <v>63</v>
      </c>
      <c r="J36" s="19">
        <f>B36*$C$5*$D$5*Assumptions!$E$17*(1+$G$5/12)^MAX(0,A36-$E$5)*IF(AND(A36&gt;=$E$5,(A36-$E$5)&lt;ROUNDUP($I$5/MAX($F$5,1),0)),1-$H$5,1)</f>
        <v>15029171.999999996</v>
      </c>
      <c r="K36" s="19">
        <f>C36*$C$6*$D$6*Assumptions!$E$17*(1+$G$6/12)^MAX(0,A36-$E$6)*IF(AND(A36&gt;=$E$6,(A36-$E$6)&lt;ROUNDUP($I$6/MAX($F$6,1),0)),1-$H$6,1)</f>
        <v>31561334.576296173</v>
      </c>
      <c r="L36" s="19">
        <f>D36*$C$7*$D$7*Assumptions!$E$17*(1+$G$7/12)^MAX(0,A36-$E$7)*IF(AND(A36&gt;=$E$7,(A36-$E$7)&lt;ROUNDUP($I$7/MAX($F$7,1),0)),1-$H$7,1)</f>
        <v>49832311.654529966</v>
      </c>
      <c r="M36" s="19">
        <f>E36*$C$8*$D$8*Assumptions!$E$17*(1+$G$8/12)^MAX(0,A36-$E$8)*IF(AND(A36&gt;=$E$8,(A36-$E$8)&lt;ROUNDUP($I$8/MAX($F$8,1),0)),1-$H$8,1)</f>
        <v>33619288.139999986</v>
      </c>
      <c r="N36" s="19">
        <f>F36*$C$9*$D$9*Assumptions!$E$17*(1+$G$9/12)^MAX(0,A36-$E$9)*IF(AND(A36&gt;=$E$9,(A36-$E$9)&lt;ROUNDUP($I$9/MAX($F$9,1),0)),1-$H$9,1)</f>
        <v>29305799.999999996</v>
      </c>
      <c r="O36" s="19">
        <f>G36*$C$10*$D$10*Assumptions!$E$17*(1+$G$10/12)^MAX(0,A36-$E$10)*IF(AND(A36&gt;=$E$10,(A36-$E$10)&lt;ROUNDUP($I$10/MAX($F$10,1),0)),1-$H$10,1)</f>
        <v>0</v>
      </c>
      <c r="P36" s="19">
        <f t="shared" si="7"/>
        <v>159347906.37082613</v>
      </c>
      <c r="Q36" s="19">
        <f t="shared" si="13"/>
        <v>663013157.33606601</v>
      </c>
      <c r="R36" s="19">
        <f t="shared" si="8"/>
        <v>23902185.955623917</v>
      </c>
      <c r="S36" s="19">
        <f t="shared" si="9"/>
        <v>55771767.229789138</v>
      </c>
      <c r="T36" s="19">
        <f>IF(A36&lt;Assumptions!$B$69,0,IF(A36=Assumptions!$B$69,$B$16*Q36,$B$16*P36))</f>
        <v>0</v>
      </c>
      <c r="U36" s="19">
        <f t="shared" si="10"/>
        <v>79673953.185413063</v>
      </c>
      <c r="V36" s="19">
        <f t="shared" si="11"/>
        <v>3983697.6592706535</v>
      </c>
    </row>
    <row r="37" spans="1:22">
      <c r="A37" s="1">
        <v>12</v>
      </c>
      <c r="B37" s="18">
        <f t="shared" si="0"/>
        <v>3</v>
      </c>
      <c r="C37" s="18">
        <f t="shared" si="1"/>
        <v>4</v>
      </c>
      <c r="D37" s="18">
        <f t="shared" si="2"/>
        <v>4</v>
      </c>
      <c r="E37" s="18">
        <f t="shared" si="3"/>
        <v>2</v>
      </c>
      <c r="F37" s="18">
        <f t="shared" si="4"/>
        <v>1</v>
      </c>
      <c r="G37" s="18">
        <f t="shared" si="5"/>
        <v>10</v>
      </c>
      <c r="H37" s="18">
        <f t="shared" si="6"/>
        <v>14</v>
      </c>
      <c r="I37" s="18">
        <f t="shared" si="12"/>
        <v>77</v>
      </c>
      <c r="J37" s="19">
        <f>B37*$C$5*$D$5*Assumptions!$E$17*(1+$G$5/12)^MAX(0,A37-$E$5)*IF(AND(A37&gt;=$E$5,(A37-$E$5)&lt;ROUNDUP($I$5/MAX($F$5,1),0)),1-$H$5,1)</f>
        <v>15104317.859999994</v>
      </c>
      <c r="K37" s="19">
        <f>C37*$C$6*$D$6*Assumptions!$E$17*(1+$G$6/12)^MAX(0,A37-$E$6)*IF(AND(A37&gt;=$E$6,(A37-$E$6)&lt;ROUNDUP($I$6/MAX($F$6,1),0)),1-$H$6,1)</f>
        <v>31719141.24917765</v>
      </c>
      <c r="L37" s="19">
        <f>D37*$C$7*$D$7*Assumptions!$E$17*(1+$G$7/12)^MAX(0,A37-$E$7)*IF(AND(A37&gt;=$E$7,(A37-$E$7)&lt;ROUNDUP($I$7/MAX($F$7,1),0)),1-$H$7,1)</f>
        <v>50081473.212802611</v>
      </c>
      <c r="M37" s="19">
        <f>E37*$C$8*$D$8*Assumptions!$E$17*(1+$G$8/12)^MAX(0,A37-$E$8)*IF(AND(A37&gt;=$E$8,(A37-$E$8)&lt;ROUNDUP($I$8/MAX($F$8,1),0)),1-$H$8,1)</f>
        <v>33787384.58069998</v>
      </c>
      <c r="N37" s="19">
        <f>F37*$C$9*$D$9*Assumptions!$E$17*(1+$G$9/12)^MAX(0,A37-$E$9)*IF(AND(A37&gt;=$E$9,(A37-$E$9)&lt;ROUNDUP($I$9/MAX($F$9,1),0)),1-$H$9,1)</f>
        <v>29452328.999999993</v>
      </c>
      <c r="O37" s="19">
        <f>G37*$C$10*$D$10*Assumptions!$E$17*(1+$G$10/12)^MAX(0,A37-$E$10)*IF(AND(A37&gt;=$E$10,(A37-$E$10)&lt;ROUNDUP($I$10/MAX($F$10,1),0)),1-$H$10,1)</f>
        <v>12000000</v>
      </c>
      <c r="P37" s="19">
        <f t="shared" si="7"/>
        <v>172144645.90268022</v>
      </c>
      <c r="Q37" s="19">
        <f t="shared" si="13"/>
        <v>835157803.23874617</v>
      </c>
      <c r="R37" s="19">
        <f t="shared" si="8"/>
        <v>25821696.885402031</v>
      </c>
      <c r="S37" s="19">
        <f t="shared" si="9"/>
        <v>60250626.06593807</v>
      </c>
      <c r="T37" s="19">
        <f>IF(A37&lt;Assumptions!$B$69,0,IF(A37=Assumptions!$B$69,$B$16*Q37,$B$16*P37))</f>
        <v>0</v>
      </c>
      <c r="U37" s="19">
        <f t="shared" si="10"/>
        <v>86072322.951340109</v>
      </c>
      <c r="V37" s="19">
        <f t="shared" si="11"/>
        <v>4303616.1475670058</v>
      </c>
    </row>
    <row r="38" spans="1:22">
      <c r="A38" s="1">
        <v>13</v>
      </c>
      <c r="B38" s="18">
        <f t="shared" si="0"/>
        <v>3</v>
      </c>
      <c r="C38" s="18">
        <f t="shared" si="1"/>
        <v>2</v>
      </c>
      <c r="D38" s="18">
        <f t="shared" si="2"/>
        <v>4</v>
      </c>
      <c r="E38" s="18">
        <f t="shared" si="3"/>
        <v>2</v>
      </c>
      <c r="F38" s="18">
        <f t="shared" si="4"/>
        <v>1</v>
      </c>
      <c r="G38" s="18">
        <f t="shared" si="5"/>
        <v>10</v>
      </c>
      <c r="H38" s="18">
        <f t="shared" si="6"/>
        <v>12</v>
      </c>
      <c r="I38" s="18">
        <f t="shared" si="12"/>
        <v>89</v>
      </c>
      <c r="J38" s="19">
        <f>B38*$C$5*$D$5*Assumptions!$E$17*(1+$G$5/12)^MAX(0,A38-$E$5)*IF(AND(A38&gt;=$E$5,(A38-$E$5)&lt;ROUNDUP($I$5/MAX($F$5,1),0)),1-$H$5,1)</f>
        <v>15179839.449299991</v>
      </c>
      <c r="K38" s="19">
        <f>C38*$C$6*$D$6*Assumptions!$E$17*(1+$G$6/12)^MAX(0,A38-$E$6)*IF(AND(A38&gt;=$E$6,(A38-$E$6)&lt;ROUNDUP($I$6/MAX($F$6,1),0)),1-$H$6,1)</f>
        <v>15938868.477711767</v>
      </c>
      <c r="L38" s="19">
        <f>D38*$C$7*$D$7*Assumptions!$E$17*(1+$G$7/12)^MAX(0,A38-$E$7)*IF(AND(A38&gt;=$E$7,(A38-$E$7)&lt;ROUNDUP($I$7/MAX($F$7,1),0)),1-$H$7,1)</f>
        <v>50331880.578866616</v>
      </c>
      <c r="M38" s="19">
        <f>E38*$C$8*$D$8*Assumptions!$E$17*(1+$G$8/12)^MAX(0,A38-$E$8)*IF(AND(A38&gt;=$E$8,(A38-$E$8)&lt;ROUNDUP($I$8/MAX($F$8,1),0)),1-$H$8,1)</f>
        <v>33956321.503603473</v>
      </c>
      <c r="N38" s="19">
        <f>F38*$C$9*$D$9*Assumptions!$E$17*(1+$G$9/12)^MAX(0,A38-$E$9)*IF(AND(A38&gt;=$E$9,(A38-$E$9)&lt;ROUNDUP($I$9/MAX($F$9,1),0)),1-$H$9,1)</f>
        <v>29599590.644999988</v>
      </c>
      <c r="O38" s="19">
        <f>G38*$C$10*$D$10*Assumptions!$E$17*(1+$G$10/12)^MAX(0,A38-$E$10)*IF(AND(A38&gt;=$E$10,(A38-$E$10)&lt;ROUNDUP($I$10/MAX($F$10,1),0)),1-$H$10,1)</f>
        <v>12030000</v>
      </c>
      <c r="P38" s="19">
        <f t="shared" si="7"/>
        <v>157036500.65448183</v>
      </c>
      <c r="Q38" s="19">
        <f t="shared" si="13"/>
        <v>992194303.89322805</v>
      </c>
      <c r="R38" s="19">
        <f t="shared" si="8"/>
        <v>23555475.098172273</v>
      </c>
      <c r="S38" s="19">
        <f t="shared" si="9"/>
        <v>54962775.229068637</v>
      </c>
      <c r="T38" s="19">
        <f>IF(A38&lt;Assumptions!$B$69,0,IF(A38=Assumptions!$B$69,$B$16*Q38,$B$16*P38))</f>
        <v>0</v>
      </c>
      <c r="U38" s="19">
        <f t="shared" si="10"/>
        <v>78518250.327240914</v>
      </c>
      <c r="V38" s="19">
        <f t="shared" si="11"/>
        <v>3925912.5163620459</v>
      </c>
    </row>
    <row r="39" spans="1:22">
      <c r="A39" s="1">
        <v>14</v>
      </c>
      <c r="B39" s="18">
        <f t="shared" si="0"/>
        <v>3</v>
      </c>
      <c r="C39" s="18">
        <f t="shared" si="1"/>
        <v>0</v>
      </c>
      <c r="D39" s="18">
        <f t="shared" si="2"/>
        <v>0</v>
      </c>
      <c r="E39" s="18">
        <f t="shared" si="3"/>
        <v>2</v>
      </c>
      <c r="F39" s="18">
        <f t="shared" si="4"/>
        <v>0</v>
      </c>
      <c r="G39" s="18">
        <f t="shared" si="5"/>
        <v>10</v>
      </c>
      <c r="H39" s="18">
        <f t="shared" si="6"/>
        <v>5</v>
      </c>
      <c r="I39" s="18">
        <f t="shared" si="12"/>
        <v>94</v>
      </c>
      <c r="J39" s="19">
        <f>B39*$C$5*$D$5*Assumptions!$E$17*(1+$G$5/12)^MAX(0,A39-$E$5)*IF(AND(A39&gt;=$E$5,(A39-$E$5)&lt;ROUNDUP($I$5/MAX($F$5,1),0)),1-$H$5,1)</f>
        <v>15255738.646546487</v>
      </c>
      <c r="K39" s="19">
        <f>C39*$C$6*$D$6*Assumptions!$E$17*(1+$G$6/12)^MAX(0,A39-$E$6)*IF(AND(A39&gt;=$E$6,(A39-$E$6)&lt;ROUNDUP($I$6/MAX($F$6,1),0)),1-$H$6,1)</f>
        <v>0</v>
      </c>
      <c r="L39" s="19">
        <f>D39*$C$7*$D$7*Assumptions!$E$17*(1+$G$7/12)^MAX(0,A39-$E$7)*IF(AND(A39&gt;=$E$7,(A39-$E$7)&lt;ROUNDUP($I$7/MAX($F$7,1),0)),1-$H$7,1)</f>
        <v>0</v>
      </c>
      <c r="M39" s="19">
        <f>E39*$C$8*$D$8*Assumptions!$E$17*(1+$G$8/12)^MAX(0,A39-$E$8)*IF(AND(A39&gt;=$E$8,(A39-$E$8)&lt;ROUNDUP($I$8/MAX($F$8,1),0)),1-$H$8,1)</f>
        <v>34126103.111121483</v>
      </c>
      <c r="N39" s="19">
        <f>F39*$C$9*$D$9*Assumptions!$E$17*(1+$G$9/12)^MAX(0,A39-$E$9)*IF(AND(A39&gt;=$E$9,(A39-$E$9)&lt;ROUNDUP($I$9/MAX($F$9,1),0)),1-$H$9,1)</f>
        <v>0</v>
      </c>
      <c r="O39" s="19">
        <f>G39*$C$10*$D$10*Assumptions!$E$17*(1+$G$10/12)^MAX(0,A39-$E$10)*IF(AND(A39&gt;=$E$10,(A39-$E$10)&lt;ROUNDUP($I$10/MAX($F$10,1),0)),1-$H$10,1)</f>
        <v>12060074.999999998</v>
      </c>
      <c r="P39" s="19">
        <f t="shared" si="7"/>
        <v>61441916.757667974</v>
      </c>
      <c r="Q39" s="19">
        <f t="shared" si="13"/>
        <v>1053636220.6508961</v>
      </c>
      <c r="R39" s="19">
        <f t="shared" si="8"/>
        <v>9216287.5136501957</v>
      </c>
      <c r="S39" s="19">
        <f t="shared" si="9"/>
        <v>21504670.865183789</v>
      </c>
      <c r="T39" s="19">
        <f>IF(A39&lt;Assumptions!$B$69,0,IF(A39=Assumptions!$B$69,$B$16*Q39,$B$16*P39))</f>
        <v>0</v>
      </c>
      <c r="U39" s="19">
        <f t="shared" si="10"/>
        <v>30720958.378833987</v>
      </c>
      <c r="V39" s="19">
        <f t="shared" si="11"/>
        <v>1536047.9189416994</v>
      </c>
    </row>
    <row r="40" spans="1:22">
      <c r="A40" s="1">
        <v>15</v>
      </c>
      <c r="B40" s="18">
        <f t="shared" si="0"/>
        <v>0</v>
      </c>
      <c r="C40" s="18">
        <f t="shared" si="1"/>
        <v>0</v>
      </c>
      <c r="D40" s="18">
        <f t="shared" si="2"/>
        <v>0</v>
      </c>
      <c r="E40" s="18">
        <f t="shared" si="3"/>
        <v>1</v>
      </c>
      <c r="F40" s="18">
        <f t="shared" si="4"/>
        <v>0</v>
      </c>
      <c r="G40" s="18">
        <f t="shared" si="5"/>
        <v>10</v>
      </c>
      <c r="H40" s="18">
        <f t="shared" si="6"/>
        <v>1</v>
      </c>
      <c r="I40" s="18">
        <f t="shared" si="12"/>
        <v>95</v>
      </c>
      <c r="J40" s="19">
        <f>B40*$C$5*$D$5*Assumptions!$E$17*(1+$G$5/12)^MAX(0,A40-$E$5)*IF(AND(A40&gt;=$E$5,(A40-$E$5)&lt;ROUNDUP($I$5/MAX($F$5,1),0)),1-$H$5,1)</f>
        <v>0</v>
      </c>
      <c r="K40" s="19">
        <f>C40*$C$6*$D$6*Assumptions!$E$17*(1+$G$6/12)^MAX(0,A40-$E$6)*IF(AND(A40&gt;=$E$6,(A40-$E$6)&lt;ROUNDUP($I$6/MAX($F$6,1),0)),1-$H$6,1)</f>
        <v>0</v>
      </c>
      <c r="L40" s="19">
        <f>D40*$C$7*$D$7*Assumptions!$E$17*(1+$G$7/12)^MAX(0,A40-$E$7)*IF(AND(A40&gt;=$E$7,(A40-$E$7)&lt;ROUNDUP($I$7/MAX($F$7,1),0)),1-$H$7,1)</f>
        <v>0</v>
      </c>
      <c r="M40" s="19">
        <f>E40*$C$8*$D$8*Assumptions!$E$17*(1+$G$8/12)^MAX(0,A40-$E$8)*IF(AND(A40&gt;=$E$8,(A40-$E$8)&lt;ROUNDUP($I$8/MAX($F$8,1),0)),1-$H$8,1)</f>
        <v>17148366.813338544</v>
      </c>
      <c r="N40" s="19">
        <f>F40*$C$9*$D$9*Assumptions!$E$17*(1+$G$9/12)^MAX(0,A40-$E$9)*IF(AND(A40&gt;=$E$9,(A40-$E$9)&lt;ROUNDUP($I$9/MAX($F$9,1),0)),1-$H$9,1)</f>
        <v>0</v>
      </c>
      <c r="O40" s="19">
        <f>G40*$C$10*$D$10*Assumptions!$E$17*(1+$G$10/12)^MAX(0,A40-$E$10)*IF(AND(A40&gt;=$E$10,(A40-$E$10)&lt;ROUNDUP($I$10/MAX($F$10,1),0)),1-$H$10,1)</f>
        <v>12090225.187499996</v>
      </c>
      <c r="P40" s="19">
        <f t="shared" si="7"/>
        <v>29238592.00083854</v>
      </c>
      <c r="Q40" s="19">
        <f t="shared" si="13"/>
        <v>1082874812.6517346</v>
      </c>
      <c r="R40" s="19">
        <f t="shared" si="8"/>
        <v>4385788.8001257805</v>
      </c>
      <c r="S40" s="19">
        <f t="shared" si="9"/>
        <v>10233507.200293489</v>
      </c>
      <c r="T40" s="19">
        <f>IF(A40&lt;Assumptions!$B$69,0,IF(A40=Assumptions!$B$69,$B$16*Q40,$B$16*P40))</f>
        <v>0</v>
      </c>
      <c r="U40" s="19">
        <f t="shared" si="10"/>
        <v>14619296.00041927</v>
      </c>
      <c r="V40" s="19">
        <f t="shared" si="11"/>
        <v>730964.80002096354</v>
      </c>
    </row>
    <row r="41" spans="1:22">
      <c r="A41" s="1">
        <v>16</v>
      </c>
      <c r="B41" s="18">
        <f t="shared" si="0"/>
        <v>0</v>
      </c>
      <c r="C41" s="18">
        <f t="shared" si="1"/>
        <v>0</v>
      </c>
      <c r="D41" s="18">
        <f t="shared" si="2"/>
        <v>0</v>
      </c>
      <c r="E41" s="18">
        <f t="shared" si="3"/>
        <v>0</v>
      </c>
      <c r="F41" s="18">
        <f t="shared" si="4"/>
        <v>0</v>
      </c>
      <c r="G41" s="18">
        <f t="shared" si="5"/>
        <v>10</v>
      </c>
      <c r="H41" s="18">
        <f t="shared" si="6"/>
        <v>0</v>
      </c>
      <c r="I41" s="18">
        <f t="shared" si="12"/>
        <v>95</v>
      </c>
      <c r="J41" s="19">
        <f>B41*$C$5*$D$5*Assumptions!$E$17*(1+$G$5/12)^MAX(0,A41-$E$5)*IF(AND(A41&gt;=$E$5,(A41-$E$5)&lt;ROUNDUP($I$5/MAX($F$5,1),0)),1-$H$5,1)</f>
        <v>0</v>
      </c>
      <c r="K41" s="19">
        <f>C41*$C$6*$D$6*Assumptions!$E$17*(1+$G$6/12)^MAX(0,A41-$E$6)*IF(AND(A41&gt;=$E$6,(A41-$E$6)&lt;ROUNDUP($I$6/MAX($F$6,1),0)),1-$H$6,1)</f>
        <v>0</v>
      </c>
      <c r="L41" s="19">
        <f>D41*$C$7*$D$7*Assumptions!$E$17*(1+$G$7/12)^MAX(0,A41-$E$7)*IF(AND(A41&gt;=$E$7,(A41-$E$7)&lt;ROUNDUP($I$7/MAX($F$7,1),0)),1-$H$7,1)</f>
        <v>0</v>
      </c>
      <c r="M41" s="19">
        <f>E41*$C$8*$D$8*Assumptions!$E$17*(1+$G$8/12)^MAX(0,A41-$E$8)*IF(AND(A41&gt;=$E$8,(A41-$E$8)&lt;ROUNDUP($I$8/MAX($F$8,1),0)),1-$H$8,1)</f>
        <v>0</v>
      </c>
      <c r="N41" s="19">
        <f>F41*$C$9*$D$9*Assumptions!$E$17*(1+$G$9/12)^MAX(0,A41-$E$9)*IF(AND(A41&gt;=$E$9,(A41-$E$9)&lt;ROUNDUP($I$9/MAX($F$9,1),0)),1-$H$9,1)</f>
        <v>0</v>
      </c>
      <c r="O41" s="19">
        <f>G41*$C$10*$D$10*Assumptions!$E$17*(1+$G$10/12)^MAX(0,A41-$E$10)*IF(AND(A41&gt;=$E$10,(A41-$E$10)&lt;ROUNDUP($I$10/MAX($F$10,1),0)),1-$H$10,1)</f>
        <v>12120450.750468748</v>
      </c>
      <c r="P41" s="19">
        <f t="shared" si="7"/>
        <v>12120450.750468748</v>
      </c>
      <c r="Q41" s="19">
        <f t="shared" si="13"/>
        <v>1094995263.4022033</v>
      </c>
      <c r="R41" s="19">
        <f t="shared" si="8"/>
        <v>1818067.6125703121</v>
      </c>
      <c r="S41" s="19">
        <f t="shared" si="9"/>
        <v>4242157.762664061</v>
      </c>
      <c r="T41" s="19">
        <f>IF(A41&lt;Assumptions!$B$69,0,IF(A41=Assumptions!$B$69,$B$16*Q41,$B$16*P41))</f>
        <v>0</v>
      </c>
      <c r="U41" s="19">
        <f t="shared" si="10"/>
        <v>6060225.3752343729</v>
      </c>
      <c r="V41" s="19">
        <f t="shared" si="11"/>
        <v>303011.2687617187</v>
      </c>
    </row>
    <row r="42" spans="1:22">
      <c r="A42" s="1">
        <v>17</v>
      </c>
      <c r="B42" s="18">
        <f t="shared" si="0"/>
        <v>0</v>
      </c>
      <c r="C42" s="18">
        <f t="shared" si="1"/>
        <v>0</v>
      </c>
      <c r="D42" s="18">
        <f t="shared" si="2"/>
        <v>0</v>
      </c>
      <c r="E42" s="18">
        <f t="shared" si="3"/>
        <v>0</v>
      </c>
      <c r="F42" s="18">
        <f t="shared" si="4"/>
        <v>0</v>
      </c>
      <c r="G42" s="18">
        <f t="shared" si="5"/>
        <v>10</v>
      </c>
      <c r="H42" s="18">
        <f t="shared" si="6"/>
        <v>0</v>
      </c>
      <c r="I42" s="18">
        <f t="shared" si="12"/>
        <v>95</v>
      </c>
      <c r="J42" s="19">
        <f>B42*$C$5*$D$5*Assumptions!$E$17*(1+$G$5/12)^MAX(0,A42-$E$5)*IF(AND(A42&gt;=$E$5,(A42-$E$5)&lt;ROUNDUP($I$5/MAX($F$5,1),0)),1-$H$5,1)</f>
        <v>0</v>
      </c>
      <c r="K42" s="19">
        <f>C42*$C$6*$D$6*Assumptions!$E$17*(1+$G$6/12)^MAX(0,A42-$E$6)*IF(AND(A42&gt;=$E$6,(A42-$E$6)&lt;ROUNDUP($I$6/MAX($F$6,1),0)),1-$H$6,1)</f>
        <v>0</v>
      </c>
      <c r="L42" s="19">
        <f>D42*$C$7*$D$7*Assumptions!$E$17*(1+$G$7/12)^MAX(0,A42-$E$7)*IF(AND(A42&gt;=$E$7,(A42-$E$7)&lt;ROUNDUP($I$7/MAX($F$7,1),0)),1-$H$7,1)</f>
        <v>0</v>
      </c>
      <c r="M42" s="19">
        <f>E42*$C$8*$D$8*Assumptions!$E$17*(1+$G$8/12)^MAX(0,A42-$E$8)*IF(AND(A42&gt;=$E$8,(A42-$E$8)&lt;ROUNDUP($I$8/MAX($F$8,1),0)),1-$H$8,1)</f>
        <v>0</v>
      </c>
      <c r="N42" s="19">
        <f>F42*$C$9*$D$9*Assumptions!$E$17*(1+$G$9/12)^MAX(0,A42-$E$9)*IF(AND(A42&gt;=$E$9,(A42-$E$9)&lt;ROUNDUP($I$9/MAX($F$9,1),0)),1-$H$9,1)</f>
        <v>0</v>
      </c>
      <c r="O42" s="19">
        <f>G42*$C$10*$D$10*Assumptions!$E$17*(1+$G$10/12)^MAX(0,A42-$E$10)*IF(AND(A42&gt;=$E$10,(A42-$E$10)&lt;ROUNDUP($I$10/MAX($F$10,1),0)),1-$H$10,1)</f>
        <v>12150751.877344919</v>
      </c>
      <c r="P42" s="19">
        <f t="shared" si="7"/>
        <v>12150751.877344919</v>
      </c>
      <c r="Q42" s="19">
        <f t="shared" si="13"/>
        <v>1107146015.2795482</v>
      </c>
      <c r="R42" s="19">
        <f t="shared" si="8"/>
        <v>1822612.781601738</v>
      </c>
      <c r="S42" s="19">
        <f t="shared" si="9"/>
        <v>4252763.1570707215</v>
      </c>
      <c r="T42" s="19">
        <f>IF(A42&lt;Assumptions!$B$69,0,IF(A42=Assumptions!$B$69,$B$16*Q42,$B$16*P42))</f>
        <v>0</v>
      </c>
      <c r="U42" s="19">
        <f t="shared" si="10"/>
        <v>6075375.9386724597</v>
      </c>
      <c r="V42" s="19">
        <f t="shared" si="11"/>
        <v>303768.79693362297</v>
      </c>
    </row>
    <row r="43" spans="1:22">
      <c r="A43" s="1">
        <v>18</v>
      </c>
      <c r="B43" s="18">
        <f t="shared" si="0"/>
        <v>0</v>
      </c>
      <c r="C43" s="18">
        <f t="shared" si="1"/>
        <v>0</v>
      </c>
      <c r="D43" s="18">
        <f t="shared" si="2"/>
        <v>0</v>
      </c>
      <c r="E43" s="18">
        <f t="shared" si="3"/>
        <v>0</v>
      </c>
      <c r="F43" s="18">
        <f t="shared" si="4"/>
        <v>0</v>
      </c>
      <c r="G43" s="18">
        <f t="shared" si="5"/>
        <v>10</v>
      </c>
      <c r="H43" s="18">
        <f t="shared" si="6"/>
        <v>0</v>
      </c>
      <c r="I43" s="18">
        <f t="shared" si="12"/>
        <v>95</v>
      </c>
      <c r="J43" s="19">
        <f>B43*$C$5*$D$5*Assumptions!$E$17*(1+$G$5/12)^MAX(0,A43-$E$5)*IF(AND(A43&gt;=$E$5,(A43-$E$5)&lt;ROUNDUP($I$5/MAX($F$5,1),0)),1-$H$5,1)</f>
        <v>0</v>
      </c>
      <c r="K43" s="19">
        <f>C43*$C$6*$D$6*Assumptions!$E$17*(1+$G$6/12)^MAX(0,A43-$E$6)*IF(AND(A43&gt;=$E$6,(A43-$E$6)&lt;ROUNDUP($I$6/MAX($F$6,1),0)),1-$H$6,1)</f>
        <v>0</v>
      </c>
      <c r="L43" s="19">
        <f>D43*$C$7*$D$7*Assumptions!$E$17*(1+$G$7/12)^MAX(0,A43-$E$7)*IF(AND(A43&gt;=$E$7,(A43-$E$7)&lt;ROUNDUP($I$7/MAX($F$7,1),0)),1-$H$7,1)</f>
        <v>0</v>
      </c>
      <c r="M43" s="19">
        <f>E43*$C$8*$D$8*Assumptions!$E$17*(1+$G$8/12)^MAX(0,A43-$E$8)*IF(AND(A43&gt;=$E$8,(A43-$E$8)&lt;ROUNDUP($I$8/MAX($F$8,1),0)),1-$H$8,1)</f>
        <v>0</v>
      </c>
      <c r="N43" s="19">
        <f>F43*$C$9*$D$9*Assumptions!$E$17*(1+$G$9/12)^MAX(0,A43-$E$9)*IF(AND(A43&gt;=$E$9,(A43-$E$9)&lt;ROUNDUP($I$9/MAX($F$9,1),0)),1-$H$9,1)</f>
        <v>0</v>
      </c>
      <c r="O43" s="19">
        <f>G43*$C$10*$D$10*Assumptions!$E$17*(1+$G$10/12)^MAX(0,A43-$E$10)*IF(AND(A43&gt;=$E$10,(A43-$E$10)&lt;ROUNDUP($I$10/MAX($F$10,1),0)),1-$H$10,1)</f>
        <v>12181128.757038279</v>
      </c>
      <c r="P43" s="19">
        <f t="shared" si="7"/>
        <v>12181128.757038279</v>
      </c>
      <c r="Q43" s="19">
        <f t="shared" si="13"/>
        <v>1119327144.0365865</v>
      </c>
      <c r="R43" s="19">
        <f t="shared" si="8"/>
        <v>1827169.3135557417</v>
      </c>
      <c r="S43" s="19">
        <f t="shared" si="9"/>
        <v>4263395.0649633976</v>
      </c>
      <c r="T43" s="19">
        <f>IF(A43&lt;Assumptions!$B$69,0,IF(A43=Assumptions!$B$69,$B$16*Q43,$B$16*P43))</f>
        <v>0</v>
      </c>
      <c r="U43" s="19">
        <f t="shared" si="10"/>
        <v>6090564.3785191393</v>
      </c>
      <c r="V43" s="19">
        <f t="shared" si="11"/>
        <v>304528.21892595699</v>
      </c>
    </row>
    <row r="44" spans="1:22">
      <c r="A44" s="1">
        <v>19</v>
      </c>
      <c r="B44" s="18">
        <f t="shared" si="0"/>
        <v>0</v>
      </c>
      <c r="C44" s="18">
        <f t="shared" si="1"/>
        <v>0</v>
      </c>
      <c r="D44" s="18">
        <f t="shared" si="2"/>
        <v>0</v>
      </c>
      <c r="E44" s="18">
        <f t="shared" si="3"/>
        <v>0</v>
      </c>
      <c r="F44" s="18">
        <f t="shared" si="4"/>
        <v>0</v>
      </c>
      <c r="G44" s="18">
        <f t="shared" si="5"/>
        <v>0</v>
      </c>
      <c r="H44" s="18">
        <f t="shared" si="6"/>
        <v>0</v>
      </c>
      <c r="I44" s="18">
        <f t="shared" si="12"/>
        <v>95</v>
      </c>
      <c r="J44" s="19">
        <f>B44*$C$5*$D$5*Assumptions!$E$17*(1+$G$5/12)^MAX(0,A44-$E$5)*IF(AND(A44&gt;=$E$5,(A44-$E$5)&lt;ROUNDUP($I$5/MAX($F$5,1),0)),1-$H$5,1)</f>
        <v>0</v>
      </c>
      <c r="K44" s="19">
        <f>C44*$C$6*$D$6*Assumptions!$E$17*(1+$G$6/12)^MAX(0,A44-$E$6)*IF(AND(A44&gt;=$E$6,(A44-$E$6)&lt;ROUNDUP($I$6/MAX($F$6,1),0)),1-$H$6,1)</f>
        <v>0</v>
      </c>
      <c r="L44" s="19">
        <f>D44*$C$7*$D$7*Assumptions!$E$17*(1+$G$7/12)^MAX(0,A44-$E$7)*IF(AND(A44&gt;=$E$7,(A44-$E$7)&lt;ROUNDUP($I$7/MAX($F$7,1),0)),1-$H$7,1)</f>
        <v>0</v>
      </c>
      <c r="M44" s="19">
        <f>E44*$C$8*$D$8*Assumptions!$E$17*(1+$G$8/12)^MAX(0,A44-$E$8)*IF(AND(A44&gt;=$E$8,(A44-$E$8)&lt;ROUNDUP($I$8/MAX($F$8,1),0)),1-$H$8,1)</f>
        <v>0</v>
      </c>
      <c r="N44" s="19">
        <f>F44*$C$9*$D$9*Assumptions!$E$17*(1+$G$9/12)^MAX(0,A44-$E$9)*IF(AND(A44&gt;=$E$9,(A44-$E$9)&lt;ROUNDUP($I$9/MAX($F$9,1),0)),1-$H$9,1)</f>
        <v>0</v>
      </c>
      <c r="O44" s="19">
        <f>G44*$C$10*$D$10*Assumptions!$E$17*(1+$G$10/12)^MAX(0,A44-$E$10)*IF(AND(A44&gt;=$E$10,(A44-$E$10)&lt;ROUNDUP($I$10/MAX($F$10,1),0)),1-$H$10,1)</f>
        <v>0</v>
      </c>
      <c r="P44" s="19">
        <f t="shared" si="7"/>
        <v>0</v>
      </c>
      <c r="Q44" s="19">
        <f t="shared" si="13"/>
        <v>1119327144.0365865</v>
      </c>
      <c r="R44" s="19">
        <f t="shared" si="8"/>
        <v>0</v>
      </c>
      <c r="S44" s="19">
        <f t="shared" si="9"/>
        <v>0</v>
      </c>
      <c r="T44" s="19">
        <f>IF(A44&lt;Assumptions!$B$69,0,IF(A44=Assumptions!$B$69,$B$16*Q44,$B$16*P44))</f>
        <v>0</v>
      </c>
      <c r="U44" s="19">
        <f t="shared" si="10"/>
        <v>0</v>
      </c>
      <c r="V44" s="19">
        <f t="shared" si="11"/>
        <v>0</v>
      </c>
    </row>
    <row r="45" spans="1:22">
      <c r="A45" s="1">
        <v>20</v>
      </c>
      <c r="B45" s="18">
        <f t="shared" si="0"/>
        <v>0</v>
      </c>
      <c r="C45" s="18">
        <f t="shared" si="1"/>
        <v>0</v>
      </c>
      <c r="D45" s="18">
        <f t="shared" si="2"/>
        <v>0</v>
      </c>
      <c r="E45" s="18">
        <f t="shared" si="3"/>
        <v>0</v>
      </c>
      <c r="F45" s="18">
        <f t="shared" si="4"/>
        <v>0</v>
      </c>
      <c r="G45" s="18">
        <f t="shared" si="5"/>
        <v>0</v>
      </c>
      <c r="H45" s="18">
        <f t="shared" si="6"/>
        <v>0</v>
      </c>
      <c r="I45" s="18">
        <f t="shared" si="12"/>
        <v>95</v>
      </c>
      <c r="J45" s="19">
        <f>B45*$C$5*$D$5*Assumptions!$E$17*(1+$G$5/12)^MAX(0,A45-$E$5)*IF(AND(A45&gt;=$E$5,(A45-$E$5)&lt;ROUNDUP($I$5/MAX($F$5,1),0)),1-$H$5,1)</f>
        <v>0</v>
      </c>
      <c r="K45" s="19">
        <f>C45*$C$6*$D$6*Assumptions!$E$17*(1+$G$6/12)^MAX(0,A45-$E$6)*IF(AND(A45&gt;=$E$6,(A45-$E$6)&lt;ROUNDUP($I$6/MAX($F$6,1),0)),1-$H$6,1)</f>
        <v>0</v>
      </c>
      <c r="L45" s="19">
        <f>D45*$C$7*$D$7*Assumptions!$E$17*(1+$G$7/12)^MAX(0,A45-$E$7)*IF(AND(A45&gt;=$E$7,(A45-$E$7)&lt;ROUNDUP($I$7/MAX($F$7,1),0)),1-$H$7,1)</f>
        <v>0</v>
      </c>
      <c r="M45" s="19">
        <f>E45*$C$8*$D$8*Assumptions!$E$17*(1+$G$8/12)^MAX(0,A45-$E$8)*IF(AND(A45&gt;=$E$8,(A45-$E$8)&lt;ROUNDUP($I$8/MAX($F$8,1),0)),1-$H$8,1)</f>
        <v>0</v>
      </c>
      <c r="N45" s="19">
        <f>F45*$C$9*$D$9*Assumptions!$E$17*(1+$G$9/12)^MAX(0,A45-$E$9)*IF(AND(A45&gt;=$E$9,(A45-$E$9)&lt;ROUNDUP($I$9/MAX($F$9,1),0)),1-$H$9,1)</f>
        <v>0</v>
      </c>
      <c r="O45" s="19">
        <f>G45*$C$10*$D$10*Assumptions!$E$17*(1+$G$10/12)^MAX(0,A45-$E$10)*IF(AND(A45&gt;=$E$10,(A45-$E$10)&lt;ROUNDUP($I$10/MAX($F$10,1),0)),1-$H$10,1)</f>
        <v>0</v>
      </c>
      <c r="P45" s="19">
        <f t="shared" si="7"/>
        <v>0</v>
      </c>
      <c r="Q45" s="19">
        <f t="shared" si="13"/>
        <v>1119327144.0365865</v>
      </c>
      <c r="R45" s="19">
        <f t="shared" si="8"/>
        <v>0</v>
      </c>
      <c r="S45" s="19">
        <f t="shared" si="9"/>
        <v>0</v>
      </c>
      <c r="T45" s="19">
        <f>IF(A45&lt;Assumptions!$B$69,0,IF(A45=Assumptions!$B$69,$B$16*Q45,$B$16*P45))</f>
        <v>0</v>
      </c>
      <c r="U45" s="19">
        <f t="shared" si="10"/>
        <v>0</v>
      </c>
      <c r="V45" s="19">
        <f t="shared" si="11"/>
        <v>0</v>
      </c>
    </row>
    <row r="46" spans="1:22">
      <c r="A46" s="1">
        <v>21</v>
      </c>
      <c r="B46" s="18">
        <f t="shared" si="0"/>
        <v>0</v>
      </c>
      <c r="C46" s="18">
        <f t="shared" si="1"/>
        <v>0</v>
      </c>
      <c r="D46" s="18">
        <f t="shared" si="2"/>
        <v>0</v>
      </c>
      <c r="E46" s="18">
        <f t="shared" si="3"/>
        <v>0</v>
      </c>
      <c r="F46" s="18">
        <f t="shared" si="4"/>
        <v>0</v>
      </c>
      <c r="G46" s="18">
        <f t="shared" si="5"/>
        <v>0</v>
      </c>
      <c r="H46" s="18">
        <f t="shared" si="6"/>
        <v>0</v>
      </c>
      <c r="I46" s="18">
        <f t="shared" si="12"/>
        <v>95</v>
      </c>
      <c r="J46" s="19">
        <f>B46*$C$5*$D$5*Assumptions!$E$17*(1+$G$5/12)^MAX(0,A46-$E$5)*IF(AND(A46&gt;=$E$5,(A46-$E$5)&lt;ROUNDUP($I$5/MAX($F$5,1),0)),1-$H$5,1)</f>
        <v>0</v>
      </c>
      <c r="K46" s="19">
        <f>C46*$C$6*$D$6*Assumptions!$E$17*(1+$G$6/12)^MAX(0,A46-$E$6)*IF(AND(A46&gt;=$E$6,(A46-$E$6)&lt;ROUNDUP($I$6/MAX($F$6,1),0)),1-$H$6,1)</f>
        <v>0</v>
      </c>
      <c r="L46" s="19">
        <f>D46*$C$7*$D$7*Assumptions!$E$17*(1+$G$7/12)^MAX(0,A46-$E$7)*IF(AND(A46&gt;=$E$7,(A46-$E$7)&lt;ROUNDUP($I$7/MAX($F$7,1),0)),1-$H$7,1)</f>
        <v>0</v>
      </c>
      <c r="M46" s="19">
        <f>E46*$C$8*$D$8*Assumptions!$E$17*(1+$G$8/12)^MAX(0,A46-$E$8)*IF(AND(A46&gt;=$E$8,(A46-$E$8)&lt;ROUNDUP($I$8/MAX($F$8,1),0)),1-$H$8,1)</f>
        <v>0</v>
      </c>
      <c r="N46" s="19">
        <f>F46*$C$9*$D$9*Assumptions!$E$17*(1+$G$9/12)^MAX(0,A46-$E$9)*IF(AND(A46&gt;=$E$9,(A46-$E$9)&lt;ROUNDUP($I$9/MAX($F$9,1),0)),1-$H$9,1)</f>
        <v>0</v>
      </c>
      <c r="O46" s="19">
        <f>G46*$C$10*$D$10*Assumptions!$E$17*(1+$G$10/12)^MAX(0,A46-$E$10)*IF(AND(A46&gt;=$E$10,(A46-$E$10)&lt;ROUNDUP($I$10/MAX($F$10,1),0)),1-$H$10,1)</f>
        <v>0</v>
      </c>
      <c r="P46" s="19">
        <f t="shared" si="7"/>
        <v>0</v>
      </c>
      <c r="Q46" s="19">
        <f t="shared" si="13"/>
        <v>1119327144.0365865</v>
      </c>
      <c r="R46" s="19">
        <f t="shared" si="8"/>
        <v>0</v>
      </c>
      <c r="S46" s="19">
        <f t="shared" si="9"/>
        <v>0</v>
      </c>
      <c r="T46" s="19">
        <f>IF(A46&lt;Assumptions!$B$69,0,IF(A46=Assumptions!$B$69,$B$16*Q46,$B$16*P46))</f>
        <v>559663572.01829326</v>
      </c>
      <c r="U46" s="19">
        <f t="shared" si="10"/>
        <v>559663572.01829326</v>
      </c>
      <c r="V46" s="19">
        <f t="shared" si="11"/>
        <v>0</v>
      </c>
    </row>
    <row r="47" spans="1:22">
      <c r="A47" s="1">
        <v>22</v>
      </c>
      <c r="B47" s="18">
        <f t="shared" si="0"/>
        <v>0</v>
      </c>
      <c r="C47" s="18">
        <f t="shared" si="1"/>
        <v>0</v>
      </c>
      <c r="D47" s="18">
        <f t="shared" si="2"/>
        <v>0</v>
      </c>
      <c r="E47" s="18">
        <f t="shared" si="3"/>
        <v>0</v>
      </c>
      <c r="F47" s="18">
        <f t="shared" si="4"/>
        <v>0</v>
      </c>
      <c r="G47" s="18">
        <f t="shared" si="5"/>
        <v>0</v>
      </c>
      <c r="H47" s="18">
        <f t="shared" si="6"/>
        <v>0</v>
      </c>
      <c r="I47" s="18">
        <f t="shared" si="12"/>
        <v>95</v>
      </c>
      <c r="J47" s="19">
        <f>B47*$C$5*$D$5*Assumptions!$E$17*(1+$G$5/12)^MAX(0,A47-$E$5)*IF(AND(A47&gt;=$E$5,(A47-$E$5)&lt;ROUNDUP($I$5/MAX($F$5,1),0)),1-$H$5,1)</f>
        <v>0</v>
      </c>
      <c r="K47" s="19">
        <f>C47*$C$6*$D$6*Assumptions!$E$17*(1+$G$6/12)^MAX(0,A47-$E$6)*IF(AND(A47&gt;=$E$6,(A47-$E$6)&lt;ROUNDUP($I$6/MAX($F$6,1),0)),1-$H$6,1)</f>
        <v>0</v>
      </c>
      <c r="L47" s="19">
        <f>D47*$C$7*$D$7*Assumptions!$E$17*(1+$G$7/12)^MAX(0,A47-$E$7)*IF(AND(A47&gt;=$E$7,(A47-$E$7)&lt;ROUNDUP($I$7/MAX($F$7,1),0)),1-$H$7,1)</f>
        <v>0</v>
      </c>
      <c r="M47" s="19">
        <f>E47*$C$8*$D$8*Assumptions!$E$17*(1+$G$8/12)^MAX(0,A47-$E$8)*IF(AND(A47&gt;=$E$8,(A47-$E$8)&lt;ROUNDUP($I$8/MAX($F$8,1),0)),1-$H$8,1)</f>
        <v>0</v>
      </c>
      <c r="N47" s="19">
        <f>F47*$C$9*$D$9*Assumptions!$E$17*(1+$G$9/12)^MAX(0,A47-$E$9)*IF(AND(A47&gt;=$E$9,(A47-$E$9)&lt;ROUNDUP($I$9/MAX($F$9,1),0)),1-$H$9,1)</f>
        <v>0</v>
      </c>
      <c r="O47" s="19">
        <f>G47*$C$10*$D$10*Assumptions!$E$17*(1+$G$10/12)^MAX(0,A47-$E$10)*IF(AND(A47&gt;=$E$10,(A47-$E$10)&lt;ROUNDUP($I$10/MAX($F$10,1),0)),1-$H$10,1)</f>
        <v>0</v>
      </c>
      <c r="P47" s="19">
        <f t="shared" si="7"/>
        <v>0</v>
      </c>
      <c r="Q47" s="19">
        <f t="shared" si="13"/>
        <v>1119327144.0365865</v>
      </c>
      <c r="R47" s="19">
        <f t="shared" si="8"/>
        <v>0</v>
      </c>
      <c r="S47" s="19">
        <f t="shared" si="9"/>
        <v>0</v>
      </c>
      <c r="T47" s="19">
        <f>IF(A47&lt;Assumptions!$B$69,0,IF(A47=Assumptions!$B$69,$B$16*Q47,$B$16*P47))</f>
        <v>0</v>
      </c>
      <c r="U47" s="19">
        <f t="shared" si="10"/>
        <v>0</v>
      </c>
      <c r="V47" s="19">
        <f t="shared" si="11"/>
        <v>0</v>
      </c>
    </row>
    <row r="48" spans="1:22">
      <c r="A48" s="1">
        <v>23</v>
      </c>
      <c r="B48" s="18">
        <f t="shared" si="0"/>
        <v>0</v>
      </c>
      <c r="C48" s="18">
        <f t="shared" si="1"/>
        <v>0</v>
      </c>
      <c r="D48" s="18">
        <f t="shared" si="2"/>
        <v>0</v>
      </c>
      <c r="E48" s="18">
        <f t="shared" si="3"/>
        <v>0</v>
      </c>
      <c r="F48" s="18">
        <f t="shared" si="4"/>
        <v>0</v>
      </c>
      <c r="G48" s="18">
        <f t="shared" si="5"/>
        <v>0</v>
      </c>
      <c r="H48" s="18">
        <f t="shared" si="6"/>
        <v>0</v>
      </c>
      <c r="I48" s="18">
        <f t="shared" si="12"/>
        <v>95</v>
      </c>
      <c r="J48" s="19">
        <f>B48*$C$5*$D$5*Assumptions!$E$17*(1+$G$5/12)^MAX(0,A48-$E$5)*IF(AND(A48&gt;=$E$5,(A48-$E$5)&lt;ROUNDUP($I$5/MAX($F$5,1),0)),1-$H$5,1)</f>
        <v>0</v>
      </c>
      <c r="K48" s="19">
        <f>C48*$C$6*$D$6*Assumptions!$E$17*(1+$G$6/12)^MAX(0,A48-$E$6)*IF(AND(A48&gt;=$E$6,(A48-$E$6)&lt;ROUNDUP($I$6/MAX($F$6,1),0)),1-$H$6,1)</f>
        <v>0</v>
      </c>
      <c r="L48" s="19">
        <f>D48*$C$7*$D$7*Assumptions!$E$17*(1+$G$7/12)^MAX(0,A48-$E$7)*IF(AND(A48&gt;=$E$7,(A48-$E$7)&lt;ROUNDUP($I$7/MAX($F$7,1),0)),1-$H$7,1)</f>
        <v>0</v>
      </c>
      <c r="M48" s="19">
        <f>E48*$C$8*$D$8*Assumptions!$E$17*(1+$G$8/12)^MAX(0,A48-$E$8)*IF(AND(A48&gt;=$E$8,(A48-$E$8)&lt;ROUNDUP($I$8/MAX($F$8,1),0)),1-$H$8,1)</f>
        <v>0</v>
      </c>
      <c r="N48" s="19">
        <f>F48*$C$9*$D$9*Assumptions!$E$17*(1+$G$9/12)^MAX(0,A48-$E$9)*IF(AND(A48&gt;=$E$9,(A48-$E$9)&lt;ROUNDUP($I$9/MAX($F$9,1),0)),1-$H$9,1)</f>
        <v>0</v>
      </c>
      <c r="O48" s="19">
        <f>G48*$C$10*$D$10*Assumptions!$E$17*(1+$G$10/12)^MAX(0,A48-$E$10)*IF(AND(A48&gt;=$E$10,(A48-$E$10)&lt;ROUNDUP($I$10/MAX($F$10,1),0)),1-$H$10,1)</f>
        <v>0</v>
      </c>
      <c r="P48" s="19">
        <f t="shared" si="7"/>
        <v>0</v>
      </c>
      <c r="Q48" s="19">
        <f t="shared" si="13"/>
        <v>1119327144.0365865</v>
      </c>
      <c r="R48" s="19">
        <f t="shared" si="8"/>
        <v>0</v>
      </c>
      <c r="S48" s="19">
        <f t="shared" si="9"/>
        <v>0</v>
      </c>
      <c r="T48" s="19">
        <f>IF(A48&lt;Assumptions!$B$69,0,IF(A48=Assumptions!$B$69,$B$16*Q48,$B$16*P48))</f>
        <v>0</v>
      </c>
      <c r="U48" s="19">
        <f t="shared" si="10"/>
        <v>0</v>
      </c>
      <c r="V48" s="19">
        <f t="shared" si="11"/>
        <v>0</v>
      </c>
    </row>
    <row r="49" spans="1:22">
      <c r="A49" s="1">
        <v>24</v>
      </c>
      <c r="B49" s="18">
        <f t="shared" si="0"/>
        <v>0</v>
      </c>
      <c r="C49" s="18">
        <f t="shared" si="1"/>
        <v>0</v>
      </c>
      <c r="D49" s="18">
        <f t="shared" si="2"/>
        <v>0</v>
      </c>
      <c r="E49" s="18">
        <f t="shared" si="3"/>
        <v>0</v>
      </c>
      <c r="F49" s="18">
        <f t="shared" si="4"/>
        <v>0</v>
      </c>
      <c r="G49" s="18">
        <f t="shared" si="5"/>
        <v>0</v>
      </c>
      <c r="H49" s="18">
        <f t="shared" si="6"/>
        <v>0</v>
      </c>
      <c r="I49" s="18">
        <f t="shared" si="12"/>
        <v>95</v>
      </c>
      <c r="J49" s="19">
        <f>B49*$C$5*$D$5*Assumptions!$E$17*(1+$G$5/12)^MAX(0,A49-$E$5)*IF(AND(A49&gt;=$E$5,(A49-$E$5)&lt;ROUNDUP($I$5/MAX($F$5,1),0)),1-$H$5,1)</f>
        <v>0</v>
      </c>
      <c r="K49" s="19">
        <f>C49*$C$6*$D$6*Assumptions!$E$17*(1+$G$6/12)^MAX(0,A49-$E$6)*IF(AND(A49&gt;=$E$6,(A49-$E$6)&lt;ROUNDUP($I$6/MAX($F$6,1),0)),1-$H$6,1)</f>
        <v>0</v>
      </c>
      <c r="L49" s="19">
        <f>D49*$C$7*$D$7*Assumptions!$E$17*(1+$G$7/12)^MAX(0,A49-$E$7)*IF(AND(A49&gt;=$E$7,(A49-$E$7)&lt;ROUNDUP($I$7/MAX($F$7,1),0)),1-$H$7,1)</f>
        <v>0</v>
      </c>
      <c r="M49" s="19">
        <f>E49*$C$8*$D$8*Assumptions!$E$17*(1+$G$8/12)^MAX(0,A49-$E$8)*IF(AND(A49&gt;=$E$8,(A49-$E$8)&lt;ROUNDUP($I$8/MAX($F$8,1),0)),1-$H$8,1)</f>
        <v>0</v>
      </c>
      <c r="N49" s="19">
        <f>F49*$C$9*$D$9*Assumptions!$E$17*(1+$G$9/12)^MAX(0,A49-$E$9)*IF(AND(A49&gt;=$E$9,(A49-$E$9)&lt;ROUNDUP($I$9/MAX($F$9,1),0)),1-$H$9,1)</f>
        <v>0</v>
      </c>
      <c r="O49" s="19">
        <f>G49*$C$10*$D$10*Assumptions!$E$17*(1+$G$10/12)^MAX(0,A49-$E$10)*IF(AND(A49&gt;=$E$10,(A49-$E$10)&lt;ROUNDUP($I$10/MAX($F$10,1),0)),1-$H$10,1)</f>
        <v>0</v>
      </c>
      <c r="P49" s="19">
        <f t="shared" si="7"/>
        <v>0</v>
      </c>
      <c r="Q49" s="19">
        <f t="shared" si="13"/>
        <v>1119327144.0365865</v>
      </c>
      <c r="R49" s="19">
        <f t="shared" si="8"/>
        <v>0</v>
      </c>
      <c r="S49" s="19">
        <f t="shared" si="9"/>
        <v>0</v>
      </c>
      <c r="T49" s="19">
        <f>IF(A49&lt;Assumptions!$B$69,0,IF(A49=Assumptions!$B$69,$B$16*Q49,$B$16*P49))</f>
        <v>0</v>
      </c>
      <c r="U49" s="19">
        <f t="shared" si="10"/>
        <v>0</v>
      </c>
      <c r="V49" s="19">
        <f t="shared" si="11"/>
        <v>0</v>
      </c>
    </row>
    <row r="50" spans="1:22">
      <c r="A50" s="1">
        <v>25</v>
      </c>
      <c r="B50" s="18">
        <f t="shared" si="0"/>
        <v>0</v>
      </c>
      <c r="C50" s="18">
        <f t="shared" si="1"/>
        <v>0</v>
      </c>
      <c r="D50" s="18">
        <f t="shared" si="2"/>
        <v>0</v>
      </c>
      <c r="E50" s="18">
        <f t="shared" si="3"/>
        <v>0</v>
      </c>
      <c r="F50" s="18">
        <f t="shared" si="4"/>
        <v>0</v>
      </c>
      <c r="G50" s="18">
        <f t="shared" si="5"/>
        <v>0</v>
      </c>
      <c r="H50" s="18">
        <f t="shared" si="6"/>
        <v>0</v>
      </c>
      <c r="I50" s="18">
        <f t="shared" si="12"/>
        <v>95</v>
      </c>
      <c r="J50" s="19">
        <f>B50*$C$5*$D$5*Assumptions!$E$17*(1+$G$5/12)^MAX(0,A50-$E$5)*IF(AND(A50&gt;=$E$5,(A50-$E$5)&lt;ROUNDUP($I$5/MAX($F$5,1),0)),1-$H$5,1)</f>
        <v>0</v>
      </c>
      <c r="K50" s="19">
        <f>C50*$C$6*$D$6*Assumptions!$E$17*(1+$G$6/12)^MAX(0,A50-$E$6)*IF(AND(A50&gt;=$E$6,(A50-$E$6)&lt;ROUNDUP($I$6/MAX($F$6,1),0)),1-$H$6,1)</f>
        <v>0</v>
      </c>
      <c r="L50" s="19">
        <f>D50*$C$7*$D$7*Assumptions!$E$17*(1+$G$7/12)^MAX(0,A50-$E$7)*IF(AND(A50&gt;=$E$7,(A50-$E$7)&lt;ROUNDUP($I$7/MAX($F$7,1),0)),1-$H$7,1)</f>
        <v>0</v>
      </c>
      <c r="M50" s="19">
        <f>E50*$C$8*$D$8*Assumptions!$E$17*(1+$G$8/12)^MAX(0,A50-$E$8)*IF(AND(A50&gt;=$E$8,(A50-$E$8)&lt;ROUNDUP($I$8/MAX($F$8,1),0)),1-$H$8,1)</f>
        <v>0</v>
      </c>
      <c r="N50" s="19">
        <f>F50*$C$9*$D$9*Assumptions!$E$17*(1+$G$9/12)^MAX(0,A50-$E$9)*IF(AND(A50&gt;=$E$9,(A50-$E$9)&lt;ROUNDUP($I$9/MAX($F$9,1),0)),1-$H$9,1)</f>
        <v>0</v>
      </c>
      <c r="O50" s="19">
        <f>G50*$C$10*$D$10*Assumptions!$E$17*(1+$G$10/12)^MAX(0,A50-$E$10)*IF(AND(A50&gt;=$E$10,(A50-$E$10)&lt;ROUNDUP($I$10/MAX($F$10,1),0)),1-$H$10,1)</f>
        <v>0</v>
      </c>
      <c r="P50" s="19">
        <f t="shared" si="7"/>
        <v>0</v>
      </c>
      <c r="Q50" s="19">
        <f t="shared" si="13"/>
        <v>1119327144.0365865</v>
      </c>
      <c r="R50" s="19">
        <f t="shared" si="8"/>
        <v>0</v>
      </c>
      <c r="S50" s="19">
        <f t="shared" si="9"/>
        <v>0</v>
      </c>
      <c r="T50" s="19">
        <f>IF(A50&lt;Assumptions!$B$69,0,IF(A50=Assumptions!$B$69,$B$16*Q50,$B$16*P50))</f>
        <v>0</v>
      </c>
      <c r="U50" s="19">
        <f t="shared" si="10"/>
        <v>0</v>
      </c>
      <c r="V50" s="19">
        <f t="shared" si="11"/>
        <v>0</v>
      </c>
    </row>
    <row r="51" spans="1:22">
      <c r="A51" s="1">
        <v>26</v>
      </c>
      <c r="B51" s="18">
        <f t="shared" si="0"/>
        <v>0</v>
      </c>
      <c r="C51" s="18">
        <f t="shared" si="1"/>
        <v>0</v>
      </c>
      <c r="D51" s="18">
        <f t="shared" si="2"/>
        <v>0</v>
      </c>
      <c r="E51" s="18">
        <f t="shared" si="3"/>
        <v>0</v>
      </c>
      <c r="F51" s="18">
        <f t="shared" si="4"/>
        <v>0</v>
      </c>
      <c r="G51" s="18">
        <f t="shared" si="5"/>
        <v>0</v>
      </c>
      <c r="H51" s="18">
        <f t="shared" si="6"/>
        <v>0</v>
      </c>
      <c r="I51" s="18">
        <f t="shared" si="12"/>
        <v>95</v>
      </c>
      <c r="J51" s="19">
        <f>B51*$C$5*$D$5*Assumptions!$E$17*(1+$G$5/12)^MAX(0,A51-$E$5)*IF(AND(A51&gt;=$E$5,(A51-$E$5)&lt;ROUNDUP($I$5/MAX($F$5,1),0)),1-$H$5,1)</f>
        <v>0</v>
      </c>
      <c r="K51" s="19">
        <f>C51*$C$6*$D$6*Assumptions!$E$17*(1+$G$6/12)^MAX(0,A51-$E$6)*IF(AND(A51&gt;=$E$6,(A51-$E$6)&lt;ROUNDUP($I$6/MAX($F$6,1),0)),1-$H$6,1)</f>
        <v>0</v>
      </c>
      <c r="L51" s="19">
        <f>D51*$C$7*$D$7*Assumptions!$E$17*(1+$G$7/12)^MAX(0,A51-$E$7)*IF(AND(A51&gt;=$E$7,(A51-$E$7)&lt;ROUNDUP($I$7/MAX($F$7,1),0)),1-$H$7,1)</f>
        <v>0</v>
      </c>
      <c r="M51" s="19">
        <f>E51*$C$8*$D$8*Assumptions!$E$17*(1+$G$8/12)^MAX(0,A51-$E$8)*IF(AND(A51&gt;=$E$8,(A51-$E$8)&lt;ROUNDUP($I$8/MAX($F$8,1),0)),1-$H$8,1)</f>
        <v>0</v>
      </c>
      <c r="N51" s="19">
        <f>F51*$C$9*$D$9*Assumptions!$E$17*(1+$G$9/12)^MAX(0,A51-$E$9)*IF(AND(A51&gt;=$E$9,(A51-$E$9)&lt;ROUNDUP($I$9/MAX($F$9,1),0)),1-$H$9,1)</f>
        <v>0</v>
      </c>
      <c r="O51" s="19">
        <f>G51*$C$10*$D$10*Assumptions!$E$17*(1+$G$10/12)^MAX(0,A51-$E$10)*IF(AND(A51&gt;=$E$10,(A51-$E$10)&lt;ROUNDUP($I$10/MAX($F$10,1),0)),1-$H$10,1)</f>
        <v>0</v>
      </c>
      <c r="P51" s="19">
        <f t="shared" si="7"/>
        <v>0</v>
      </c>
      <c r="Q51" s="19">
        <f t="shared" si="13"/>
        <v>1119327144.0365865</v>
      </c>
      <c r="R51" s="19">
        <f t="shared" si="8"/>
        <v>0</v>
      </c>
      <c r="S51" s="19">
        <f t="shared" si="9"/>
        <v>0</v>
      </c>
      <c r="T51" s="19">
        <f>IF(A51&lt;Assumptions!$B$69,0,IF(A51=Assumptions!$B$69,$B$16*Q51,$B$16*P51))</f>
        <v>0</v>
      </c>
      <c r="U51" s="19">
        <f t="shared" si="10"/>
        <v>0</v>
      </c>
      <c r="V51" s="19">
        <f t="shared" si="11"/>
        <v>0</v>
      </c>
    </row>
    <row r="52" spans="1:22">
      <c r="A52" s="1">
        <v>27</v>
      </c>
      <c r="B52" s="18">
        <f t="shared" si="0"/>
        <v>0</v>
      </c>
      <c r="C52" s="18">
        <f t="shared" si="1"/>
        <v>0</v>
      </c>
      <c r="D52" s="18">
        <f t="shared" si="2"/>
        <v>0</v>
      </c>
      <c r="E52" s="18">
        <f t="shared" si="3"/>
        <v>0</v>
      </c>
      <c r="F52" s="18">
        <f t="shared" si="4"/>
        <v>0</v>
      </c>
      <c r="G52" s="18">
        <f t="shared" si="5"/>
        <v>0</v>
      </c>
      <c r="H52" s="18">
        <f t="shared" si="6"/>
        <v>0</v>
      </c>
      <c r="I52" s="18">
        <f t="shared" si="12"/>
        <v>95</v>
      </c>
      <c r="J52" s="19">
        <f>B52*$C$5*$D$5*Assumptions!$E$17*(1+$G$5/12)^MAX(0,A52-$E$5)*IF(AND(A52&gt;=$E$5,(A52-$E$5)&lt;ROUNDUP($I$5/MAX($F$5,1),0)),1-$H$5,1)</f>
        <v>0</v>
      </c>
      <c r="K52" s="19">
        <f>C52*$C$6*$D$6*Assumptions!$E$17*(1+$G$6/12)^MAX(0,A52-$E$6)*IF(AND(A52&gt;=$E$6,(A52-$E$6)&lt;ROUNDUP($I$6/MAX($F$6,1),0)),1-$H$6,1)</f>
        <v>0</v>
      </c>
      <c r="L52" s="19">
        <f>D52*$C$7*$D$7*Assumptions!$E$17*(1+$G$7/12)^MAX(0,A52-$E$7)*IF(AND(A52&gt;=$E$7,(A52-$E$7)&lt;ROUNDUP($I$7/MAX($F$7,1),0)),1-$H$7,1)</f>
        <v>0</v>
      </c>
      <c r="M52" s="19">
        <f>E52*$C$8*$D$8*Assumptions!$E$17*(1+$G$8/12)^MAX(0,A52-$E$8)*IF(AND(A52&gt;=$E$8,(A52-$E$8)&lt;ROUNDUP($I$8/MAX($F$8,1),0)),1-$H$8,1)</f>
        <v>0</v>
      </c>
      <c r="N52" s="19">
        <f>F52*$C$9*$D$9*Assumptions!$E$17*(1+$G$9/12)^MAX(0,A52-$E$9)*IF(AND(A52&gt;=$E$9,(A52-$E$9)&lt;ROUNDUP($I$9/MAX($F$9,1),0)),1-$H$9,1)</f>
        <v>0</v>
      </c>
      <c r="O52" s="19">
        <f>G52*$C$10*$D$10*Assumptions!$E$17*(1+$G$10/12)^MAX(0,A52-$E$10)*IF(AND(A52&gt;=$E$10,(A52-$E$10)&lt;ROUNDUP($I$10/MAX($F$10,1),0)),1-$H$10,1)</f>
        <v>0</v>
      </c>
      <c r="P52" s="19">
        <f t="shared" si="7"/>
        <v>0</v>
      </c>
      <c r="Q52" s="19">
        <f t="shared" si="13"/>
        <v>1119327144.0365865</v>
      </c>
      <c r="R52" s="19">
        <f t="shared" si="8"/>
        <v>0</v>
      </c>
      <c r="S52" s="19">
        <f t="shared" si="9"/>
        <v>0</v>
      </c>
      <c r="T52" s="19">
        <f>IF(A52&lt;Assumptions!$B$69,0,IF(A52=Assumptions!$B$69,$B$16*Q52,$B$16*P52))</f>
        <v>0</v>
      </c>
      <c r="U52" s="19">
        <f t="shared" si="10"/>
        <v>0</v>
      </c>
      <c r="V52" s="19">
        <f t="shared" si="11"/>
        <v>0</v>
      </c>
    </row>
    <row r="53" spans="1:22">
      <c r="A53" s="1">
        <v>28</v>
      </c>
      <c r="B53" s="18">
        <f t="shared" si="0"/>
        <v>0</v>
      </c>
      <c r="C53" s="18">
        <f t="shared" si="1"/>
        <v>0</v>
      </c>
      <c r="D53" s="18">
        <f t="shared" si="2"/>
        <v>0</v>
      </c>
      <c r="E53" s="18">
        <f t="shared" si="3"/>
        <v>0</v>
      </c>
      <c r="F53" s="18">
        <f t="shared" si="4"/>
        <v>0</v>
      </c>
      <c r="G53" s="18">
        <f t="shared" si="5"/>
        <v>0</v>
      </c>
      <c r="H53" s="18">
        <f t="shared" si="6"/>
        <v>0</v>
      </c>
      <c r="I53" s="18">
        <f t="shared" si="12"/>
        <v>95</v>
      </c>
      <c r="J53" s="19">
        <f>B53*$C$5*$D$5*Assumptions!$E$17*(1+$G$5/12)^MAX(0,A53-$E$5)*IF(AND(A53&gt;=$E$5,(A53-$E$5)&lt;ROUNDUP($I$5/MAX($F$5,1),0)),1-$H$5,1)</f>
        <v>0</v>
      </c>
      <c r="K53" s="19">
        <f>C53*$C$6*$D$6*Assumptions!$E$17*(1+$G$6/12)^MAX(0,A53-$E$6)*IF(AND(A53&gt;=$E$6,(A53-$E$6)&lt;ROUNDUP($I$6/MAX($F$6,1),0)),1-$H$6,1)</f>
        <v>0</v>
      </c>
      <c r="L53" s="19">
        <f>D53*$C$7*$D$7*Assumptions!$E$17*(1+$G$7/12)^MAX(0,A53-$E$7)*IF(AND(A53&gt;=$E$7,(A53-$E$7)&lt;ROUNDUP($I$7/MAX($F$7,1),0)),1-$H$7,1)</f>
        <v>0</v>
      </c>
      <c r="M53" s="19">
        <f>E53*$C$8*$D$8*Assumptions!$E$17*(1+$G$8/12)^MAX(0,A53-$E$8)*IF(AND(A53&gt;=$E$8,(A53-$E$8)&lt;ROUNDUP($I$8/MAX($F$8,1),0)),1-$H$8,1)</f>
        <v>0</v>
      </c>
      <c r="N53" s="19">
        <f>F53*$C$9*$D$9*Assumptions!$E$17*(1+$G$9/12)^MAX(0,A53-$E$9)*IF(AND(A53&gt;=$E$9,(A53-$E$9)&lt;ROUNDUP($I$9/MAX($F$9,1),0)),1-$H$9,1)</f>
        <v>0</v>
      </c>
      <c r="O53" s="19">
        <f>G53*$C$10*$D$10*Assumptions!$E$17*(1+$G$10/12)^MAX(0,A53-$E$10)*IF(AND(A53&gt;=$E$10,(A53-$E$10)&lt;ROUNDUP($I$10/MAX($F$10,1),0)),1-$H$10,1)</f>
        <v>0</v>
      </c>
      <c r="P53" s="19">
        <f t="shared" si="7"/>
        <v>0</v>
      </c>
      <c r="Q53" s="19">
        <f t="shared" si="13"/>
        <v>1119327144.0365865</v>
      </c>
      <c r="R53" s="19">
        <f t="shared" si="8"/>
        <v>0</v>
      </c>
      <c r="S53" s="19">
        <f t="shared" si="9"/>
        <v>0</v>
      </c>
      <c r="T53" s="19">
        <f>IF(A53&lt;Assumptions!$B$69,0,IF(A53=Assumptions!$B$69,$B$16*Q53,$B$16*P53))</f>
        <v>0</v>
      </c>
      <c r="U53" s="19">
        <f t="shared" si="10"/>
        <v>0</v>
      </c>
      <c r="V53" s="19">
        <f t="shared" si="11"/>
        <v>0</v>
      </c>
    </row>
    <row r="54" spans="1:22">
      <c r="A54" s="1">
        <v>29</v>
      </c>
      <c r="B54" s="18">
        <f t="shared" si="0"/>
        <v>0</v>
      </c>
      <c r="C54" s="18">
        <f t="shared" si="1"/>
        <v>0</v>
      </c>
      <c r="D54" s="18">
        <f t="shared" si="2"/>
        <v>0</v>
      </c>
      <c r="E54" s="18">
        <f t="shared" si="3"/>
        <v>0</v>
      </c>
      <c r="F54" s="18">
        <f t="shared" si="4"/>
        <v>0</v>
      </c>
      <c r="G54" s="18">
        <f t="shared" si="5"/>
        <v>0</v>
      </c>
      <c r="H54" s="18">
        <f t="shared" si="6"/>
        <v>0</v>
      </c>
      <c r="I54" s="18">
        <f t="shared" si="12"/>
        <v>95</v>
      </c>
      <c r="J54" s="19">
        <f>B54*$C$5*$D$5*Assumptions!$E$17*(1+$G$5/12)^MAX(0,A54-$E$5)*IF(AND(A54&gt;=$E$5,(A54-$E$5)&lt;ROUNDUP($I$5/MAX($F$5,1),0)),1-$H$5,1)</f>
        <v>0</v>
      </c>
      <c r="K54" s="19">
        <f>C54*$C$6*$D$6*Assumptions!$E$17*(1+$G$6/12)^MAX(0,A54-$E$6)*IF(AND(A54&gt;=$E$6,(A54-$E$6)&lt;ROUNDUP($I$6/MAX($F$6,1),0)),1-$H$6,1)</f>
        <v>0</v>
      </c>
      <c r="L54" s="19">
        <f>D54*$C$7*$D$7*Assumptions!$E$17*(1+$G$7/12)^MAX(0,A54-$E$7)*IF(AND(A54&gt;=$E$7,(A54-$E$7)&lt;ROUNDUP($I$7/MAX($F$7,1),0)),1-$H$7,1)</f>
        <v>0</v>
      </c>
      <c r="M54" s="19">
        <f>E54*$C$8*$D$8*Assumptions!$E$17*(1+$G$8/12)^MAX(0,A54-$E$8)*IF(AND(A54&gt;=$E$8,(A54-$E$8)&lt;ROUNDUP($I$8/MAX($F$8,1),0)),1-$H$8,1)</f>
        <v>0</v>
      </c>
      <c r="N54" s="19">
        <f>F54*$C$9*$D$9*Assumptions!$E$17*(1+$G$9/12)^MAX(0,A54-$E$9)*IF(AND(A54&gt;=$E$9,(A54-$E$9)&lt;ROUNDUP($I$9/MAX($F$9,1),0)),1-$H$9,1)</f>
        <v>0</v>
      </c>
      <c r="O54" s="19">
        <f>G54*$C$10*$D$10*Assumptions!$E$17*(1+$G$10/12)^MAX(0,A54-$E$10)*IF(AND(A54&gt;=$E$10,(A54-$E$10)&lt;ROUNDUP($I$10/MAX($F$10,1),0)),1-$H$10,1)</f>
        <v>0</v>
      </c>
      <c r="P54" s="19">
        <f t="shared" si="7"/>
        <v>0</v>
      </c>
      <c r="Q54" s="19">
        <f t="shared" si="13"/>
        <v>1119327144.0365865</v>
      </c>
      <c r="R54" s="19">
        <f t="shared" si="8"/>
        <v>0</v>
      </c>
      <c r="S54" s="19">
        <f t="shared" si="9"/>
        <v>0</v>
      </c>
      <c r="T54" s="19">
        <f>IF(A54&lt;Assumptions!$B$69,0,IF(A54=Assumptions!$B$69,$B$16*Q54,$B$16*P54))</f>
        <v>0</v>
      </c>
      <c r="U54" s="19">
        <f t="shared" si="10"/>
        <v>0</v>
      </c>
      <c r="V54" s="19">
        <f t="shared" si="11"/>
        <v>0</v>
      </c>
    </row>
    <row r="55" spans="1:22">
      <c r="A55" s="1">
        <v>30</v>
      </c>
      <c r="B55" s="18">
        <f t="shared" si="0"/>
        <v>0</v>
      </c>
      <c r="C55" s="18">
        <f t="shared" si="1"/>
        <v>0</v>
      </c>
      <c r="D55" s="18">
        <f t="shared" si="2"/>
        <v>0</v>
      </c>
      <c r="E55" s="18">
        <f t="shared" si="3"/>
        <v>0</v>
      </c>
      <c r="F55" s="18">
        <f t="shared" si="4"/>
        <v>0</v>
      </c>
      <c r="G55" s="18">
        <f t="shared" si="5"/>
        <v>0</v>
      </c>
      <c r="H55" s="18">
        <f t="shared" si="6"/>
        <v>0</v>
      </c>
      <c r="I55" s="18">
        <f t="shared" si="12"/>
        <v>95</v>
      </c>
      <c r="J55" s="19">
        <f>B55*$C$5*$D$5*Assumptions!$E$17*(1+$G$5/12)^MAX(0,A55-$E$5)*IF(AND(A55&gt;=$E$5,(A55-$E$5)&lt;ROUNDUP($I$5/MAX($F$5,1),0)),1-$H$5,1)</f>
        <v>0</v>
      </c>
      <c r="K55" s="19">
        <f>C55*$C$6*$D$6*Assumptions!$E$17*(1+$G$6/12)^MAX(0,A55-$E$6)*IF(AND(A55&gt;=$E$6,(A55-$E$6)&lt;ROUNDUP($I$6/MAX($F$6,1),0)),1-$H$6,1)</f>
        <v>0</v>
      </c>
      <c r="L55" s="19">
        <f>D55*$C$7*$D$7*Assumptions!$E$17*(1+$G$7/12)^MAX(0,A55-$E$7)*IF(AND(A55&gt;=$E$7,(A55-$E$7)&lt;ROUNDUP($I$7/MAX($F$7,1),0)),1-$H$7,1)</f>
        <v>0</v>
      </c>
      <c r="M55" s="19">
        <f>E55*$C$8*$D$8*Assumptions!$E$17*(1+$G$8/12)^MAX(0,A55-$E$8)*IF(AND(A55&gt;=$E$8,(A55-$E$8)&lt;ROUNDUP($I$8/MAX($F$8,1),0)),1-$H$8,1)</f>
        <v>0</v>
      </c>
      <c r="N55" s="19">
        <f>F55*$C$9*$D$9*Assumptions!$E$17*(1+$G$9/12)^MAX(0,A55-$E$9)*IF(AND(A55&gt;=$E$9,(A55-$E$9)&lt;ROUNDUP($I$9/MAX($F$9,1),0)),1-$H$9,1)</f>
        <v>0</v>
      </c>
      <c r="O55" s="19">
        <f>G55*$C$10*$D$10*Assumptions!$E$17*(1+$G$10/12)^MAX(0,A55-$E$10)*IF(AND(A55&gt;=$E$10,(A55-$E$10)&lt;ROUNDUP($I$10/MAX($F$10,1),0)),1-$H$10,1)</f>
        <v>0</v>
      </c>
      <c r="P55" s="19">
        <f t="shared" si="7"/>
        <v>0</v>
      </c>
      <c r="Q55" s="19">
        <f t="shared" si="13"/>
        <v>1119327144.0365865</v>
      </c>
      <c r="R55" s="19">
        <f t="shared" si="8"/>
        <v>0</v>
      </c>
      <c r="S55" s="19">
        <f t="shared" si="9"/>
        <v>0</v>
      </c>
      <c r="T55" s="19">
        <f>IF(A55&lt;Assumptions!$B$69,0,IF(A55=Assumptions!$B$69,$B$16*Q55,$B$16*P55))</f>
        <v>0</v>
      </c>
      <c r="U55" s="19">
        <f t="shared" si="10"/>
        <v>0</v>
      </c>
      <c r="V55" s="19">
        <f t="shared" si="11"/>
        <v>0</v>
      </c>
    </row>
    <row r="56" spans="1:22">
      <c r="A56" s="1">
        <v>31</v>
      </c>
      <c r="B56" s="18">
        <f t="shared" si="0"/>
        <v>0</v>
      </c>
      <c r="C56" s="18">
        <f t="shared" si="1"/>
        <v>0</v>
      </c>
      <c r="D56" s="18">
        <f t="shared" si="2"/>
        <v>0</v>
      </c>
      <c r="E56" s="18">
        <f t="shared" si="3"/>
        <v>0</v>
      </c>
      <c r="F56" s="18">
        <f t="shared" si="4"/>
        <v>0</v>
      </c>
      <c r="G56" s="18">
        <f t="shared" si="5"/>
        <v>0</v>
      </c>
      <c r="H56" s="18">
        <f t="shared" si="6"/>
        <v>0</v>
      </c>
      <c r="I56" s="18">
        <f t="shared" si="12"/>
        <v>95</v>
      </c>
      <c r="J56" s="19">
        <f>B56*$C$5*$D$5*Assumptions!$E$17*(1+$G$5/12)^MAX(0,A56-$E$5)*IF(AND(A56&gt;=$E$5,(A56-$E$5)&lt;ROUNDUP($I$5/MAX($F$5,1),0)),1-$H$5,1)</f>
        <v>0</v>
      </c>
      <c r="K56" s="19">
        <f>C56*$C$6*$D$6*Assumptions!$E$17*(1+$G$6/12)^MAX(0,A56-$E$6)*IF(AND(A56&gt;=$E$6,(A56-$E$6)&lt;ROUNDUP($I$6/MAX($F$6,1),0)),1-$H$6,1)</f>
        <v>0</v>
      </c>
      <c r="L56" s="19">
        <f>D56*$C$7*$D$7*Assumptions!$E$17*(1+$G$7/12)^MAX(0,A56-$E$7)*IF(AND(A56&gt;=$E$7,(A56-$E$7)&lt;ROUNDUP($I$7/MAX($F$7,1),0)),1-$H$7,1)</f>
        <v>0</v>
      </c>
      <c r="M56" s="19">
        <f>E56*$C$8*$D$8*Assumptions!$E$17*(1+$G$8/12)^MAX(0,A56-$E$8)*IF(AND(A56&gt;=$E$8,(A56-$E$8)&lt;ROUNDUP($I$8/MAX($F$8,1),0)),1-$H$8,1)</f>
        <v>0</v>
      </c>
      <c r="N56" s="19">
        <f>F56*$C$9*$D$9*Assumptions!$E$17*(1+$G$9/12)^MAX(0,A56-$E$9)*IF(AND(A56&gt;=$E$9,(A56-$E$9)&lt;ROUNDUP($I$9/MAX($F$9,1),0)),1-$H$9,1)</f>
        <v>0</v>
      </c>
      <c r="O56" s="19">
        <f>G56*$C$10*$D$10*Assumptions!$E$17*(1+$G$10/12)^MAX(0,A56-$E$10)*IF(AND(A56&gt;=$E$10,(A56-$E$10)&lt;ROUNDUP($I$10/MAX($F$10,1),0)),1-$H$10,1)</f>
        <v>0</v>
      </c>
      <c r="P56" s="19">
        <f t="shared" si="7"/>
        <v>0</v>
      </c>
      <c r="Q56" s="19">
        <f t="shared" si="13"/>
        <v>1119327144.0365865</v>
      </c>
      <c r="R56" s="19">
        <f t="shared" si="8"/>
        <v>0</v>
      </c>
      <c r="S56" s="19">
        <f t="shared" si="9"/>
        <v>0</v>
      </c>
      <c r="T56" s="19">
        <f>IF(A56&lt;Assumptions!$B$69,0,IF(A56=Assumptions!$B$69,$B$16*Q56,$B$16*P56))</f>
        <v>0</v>
      </c>
      <c r="U56" s="19">
        <f t="shared" si="10"/>
        <v>0</v>
      </c>
      <c r="V56" s="19">
        <f t="shared" si="11"/>
        <v>0</v>
      </c>
    </row>
    <row r="57" spans="1:22">
      <c r="A57" s="1">
        <v>32</v>
      </c>
      <c r="B57" s="18">
        <f t="shared" si="0"/>
        <v>0</v>
      </c>
      <c r="C57" s="18">
        <f t="shared" si="1"/>
        <v>0</v>
      </c>
      <c r="D57" s="18">
        <f t="shared" si="2"/>
        <v>0</v>
      </c>
      <c r="E57" s="18">
        <f t="shared" si="3"/>
        <v>0</v>
      </c>
      <c r="F57" s="18">
        <f t="shared" si="4"/>
        <v>0</v>
      </c>
      <c r="G57" s="18">
        <f t="shared" si="5"/>
        <v>0</v>
      </c>
      <c r="H57" s="18">
        <f t="shared" si="6"/>
        <v>0</v>
      </c>
      <c r="I57" s="18">
        <f t="shared" si="12"/>
        <v>95</v>
      </c>
      <c r="J57" s="19">
        <f>B57*$C$5*$D$5*Assumptions!$E$17*(1+$G$5/12)^MAX(0,A57-$E$5)*IF(AND(A57&gt;=$E$5,(A57-$E$5)&lt;ROUNDUP($I$5/MAX($F$5,1),0)),1-$H$5,1)</f>
        <v>0</v>
      </c>
      <c r="K57" s="19">
        <f>C57*$C$6*$D$6*Assumptions!$E$17*(1+$G$6/12)^MAX(0,A57-$E$6)*IF(AND(A57&gt;=$E$6,(A57-$E$6)&lt;ROUNDUP($I$6/MAX($F$6,1),0)),1-$H$6,1)</f>
        <v>0</v>
      </c>
      <c r="L57" s="19">
        <f>D57*$C$7*$D$7*Assumptions!$E$17*(1+$G$7/12)^MAX(0,A57-$E$7)*IF(AND(A57&gt;=$E$7,(A57-$E$7)&lt;ROUNDUP($I$7/MAX($F$7,1),0)),1-$H$7,1)</f>
        <v>0</v>
      </c>
      <c r="M57" s="19">
        <f>E57*$C$8*$D$8*Assumptions!$E$17*(1+$G$8/12)^MAX(0,A57-$E$8)*IF(AND(A57&gt;=$E$8,(A57-$E$8)&lt;ROUNDUP($I$8/MAX($F$8,1),0)),1-$H$8,1)</f>
        <v>0</v>
      </c>
      <c r="N57" s="19">
        <f>F57*$C$9*$D$9*Assumptions!$E$17*(1+$G$9/12)^MAX(0,A57-$E$9)*IF(AND(A57&gt;=$E$9,(A57-$E$9)&lt;ROUNDUP($I$9/MAX($F$9,1),0)),1-$H$9,1)</f>
        <v>0</v>
      </c>
      <c r="O57" s="19">
        <f>G57*$C$10*$D$10*Assumptions!$E$17*(1+$G$10/12)^MAX(0,A57-$E$10)*IF(AND(A57&gt;=$E$10,(A57-$E$10)&lt;ROUNDUP($I$10/MAX($F$10,1),0)),1-$H$10,1)</f>
        <v>0</v>
      </c>
      <c r="P57" s="19">
        <f t="shared" si="7"/>
        <v>0</v>
      </c>
      <c r="Q57" s="19">
        <f t="shared" si="13"/>
        <v>1119327144.0365865</v>
      </c>
      <c r="R57" s="19">
        <f t="shared" si="8"/>
        <v>0</v>
      </c>
      <c r="S57" s="19">
        <f t="shared" si="9"/>
        <v>0</v>
      </c>
      <c r="T57" s="19">
        <f>IF(A57&lt;Assumptions!$B$69,0,IF(A57=Assumptions!$B$69,$B$16*Q57,$B$16*P57))</f>
        <v>0</v>
      </c>
      <c r="U57" s="19">
        <f t="shared" si="10"/>
        <v>0</v>
      </c>
      <c r="V57" s="19">
        <f t="shared" si="11"/>
        <v>0</v>
      </c>
    </row>
    <row r="58" spans="1:22">
      <c r="A58" s="1">
        <v>33</v>
      </c>
      <c r="B58" s="18">
        <f t="shared" si="0"/>
        <v>0</v>
      </c>
      <c r="C58" s="18">
        <f t="shared" si="1"/>
        <v>0</v>
      </c>
      <c r="D58" s="18">
        <f t="shared" si="2"/>
        <v>0</v>
      </c>
      <c r="E58" s="18">
        <f t="shared" si="3"/>
        <v>0</v>
      </c>
      <c r="F58" s="18">
        <f t="shared" si="4"/>
        <v>0</v>
      </c>
      <c r="G58" s="18">
        <f t="shared" si="5"/>
        <v>0</v>
      </c>
      <c r="H58" s="18">
        <f t="shared" si="6"/>
        <v>0</v>
      </c>
      <c r="I58" s="18">
        <f t="shared" si="12"/>
        <v>95</v>
      </c>
      <c r="J58" s="19">
        <f>B58*$C$5*$D$5*Assumptions!$E$17*(1+$G$5/12)^MAX(0,A58-$E$5)*IF(AND(A58&gt;=$E$5,(A58-$E$5)&lt;ROUNDUP($I$5/MAX($F$5,1),0)),1-$H$5,1)</f>
        <v>0</v>
      </c>
      <c r="K58" s="19">
        <f>C58*$C$6*$D$6*Assumptions!$E$17*(1+$G$6/12)^MAX(0,A58-$E$6)*IF(AND(A58&gt;=$E$6,(A58-$E$6)&lt;ROUNDUP($I$6/MAX($F$6,1),0)),1-$H$6,1)</f>
        <v>0</v>
      </c>
      <c r="L58" s="19">
        <f>D58*$C$7*$D$7*Assumptions!$E$17*(1+$G$7/12)^MAX(0,A58-$E$7)*IF(AND(A58&gt;=$E$7,(A58-$E$7)&lt;ROUNDUP($I$7/MAX($F$7,1),0)),1-$H$7,1)</f>
        <v>0</v>
      </c>
      <c r="M58" s="19">
        <f>E58*$C$8*$D$8*Assumptions!$E$17*(1+$G$8/12)^MAX(0,A58-$E$8)*IF(AND(A58&gt;=$E$8,(A58-$E$8)&lt;ROUNDUP($I$8/MAX($F$8,1),0)),1-$H$8,1)</f>
        <v>0</v>
      </c>
      <c r="N58" s="19">
        <f>F58*$C$9*$D$9*Assumptions!$E$17*(1+$G$9/12)^MAX(0,A58-$E$9)*IF(AND(A58&gt;=$E$9,(A58-$E$9)&lt;ROUNDUP($I$9/MAX($F$9,1),0)),1-$H$9,1)</f>
        <v>0</v>
      </c>
      <c r="O58" s="19">
        <f>G58*$C$10*$D$10*Assumptions!$E$17*(1+$G$10/12)^MAX(0,A58-$E$10)*IF(AND(A58&gt;=$E$10,(A58-$E$10)&lt;ROUNDUP($I$10/MAX($F$10,1),0)),1-$H$10,1)</f>
        <v>0</v>
      </c>
      <c r="P58" s="19">
        <f t="shared" si="7"/>
        <v>0</v>
      </c>
      <c r="Q58" s="19">
        <f t="shared" si="13"/>
        <v>1119327144.0365865</v>
      </c>
      <c r="R58" s="19">
        <f t="shared" si="8"/>
        <v>0</v>
      </c>
      <c r="S58" s="19">
        <f t="shared" si="9"/>
        <v>0</v>
      </c>
      <c r="T58" s="19">
        <f>IF(A58&lt;Assumptions!$B$69,0,IF(A58=Assumptions!$B$69,$B$16*Q58,$B$16*P58))</f>
        <v>0</v>
      </c>
      <c r="U58" s="19">
        <f t="shared" si="10"/>
        <v>0</v>
      </c>
      <c r="V58" s="19">
        <f t="shared" si="11"/>
        <v>0</v>
      </c>
    </row>
    <row r="59" spans="1:22">
      <c r="A59" s="1">
        <v>34</v>
      </c>
      <c r="B59" s="18">
        <f t="shared" si="0"/>
        <v>0</v>
      </c>
      <c r="C59" s="18">
        <f t="shared" si="1"/>
        <v>0</v>
      </c>
      <c r="D59" s="18">
        <f t="shared" si="2"/>
        <v>0</v>
      </c>
      <c r="E59" s="18">
        <f t="shared" si="3"/>
        <v>0</v>
      </c>
      <c r="F59" s="18">
        <f t="shared" si="4"/>
        <v>0</v>
      </c>
      <c r="G59" s="18">
        <f t="shared" si="5"/>
        <v>0</v>
      </c>
      <c r="H59" s="18">
        <f t="shared" si="6"/>
        <v>0</v>
      </c>
      <c r="I59" s="18">
        <f t="shared" si="12"/>
        <v>95</v>
      </c>
      <c r="J59" s="19">
        <f>B59*$C$5*$D$5*Assumptions!$E$17*(1+$G$5/12)^MAX(0,A59-$E$5)*IF(AND(A59&gt;=$E$5,(A59-$E$5)&lt;ROUNDUP($I$5/MAX($F$5,1),0)),1-$H$5,1)</f>
        <v>0</v>
      </c>
      <c r="K59" s="19">
        <f>C59*$C$6*$D$6*Assumptions!$E$17*(1+$G$6/12)^MAX(0,A59-$E$6)*IF(AND(A59&gt;=$E$6,(A59-$E$6)&lt;ROUNDUP($I$6/MAX($F$6,1),0)),1-$H$6,1)</f>
        <v>0</v>
      </c>
      <c r="L59" s="19">
        <f>D59*$C$7*$D$7*Assumptions!$E$17*(1+$G$7/12)^MAX(0,A59-$E$7)*IF(AND(A59&gt;=$E$7,(A59-$E$7)&lt;ROUNDUP($I$7/MAX($F$7,1),0)),1-$H$7,1)</f>
        <v>0</v>
      </c>
      <c r="M59" s="19">
        <f>E59*$C$8*$D$8*Assumptions!$E$17*(1+$G$8/12)^MAX(0,A59-$E$8)*IF(AND(A59&gt;=$E$8,(A59-$E$8)&lt;ROUNDUP($I$8/MAX($F$8,1),0)),1-$H$8,1)</f>
        <v>0</v>
      </c>
      <c r="N59" s="19">
        <f>F59*$C$9*$D$9*Assumptions!$E$17*(1+$G$9/12)^MAX(0,A59-$E$9)*IF(AND(A59&gt;=$E$9,(A59-$E$9)&lt;ROUNDUP($I$9/MAX($F$9,1),0)),1-$H$9,1)</f>
        <v>0</v>
      </c>
      <c r="O59" s="19">
        <f>G59*$C$10*$D$10*Assumptions!$E$17*(1+$G$10/12)^MAX(0,A59-$E$10)*IF(AND(A59&gt;=$E$10,(A59-$E$10)&lt;ROUNDUP($I$10/MAX($F$10,1),0)),1-$H$10,1)</f>
        <v>0</v>
      </c>
      <c r="P59" s="19">
        <f t="shared" si="7"/>
        <v>0</v>
      </c>
      <c r="Q59" s="19">
        <f t="shared" si="13"/>
        <v>1119327144.0365865</v>
      </c>
      <c r="R59" s="19">
        <f t="shared" si="8"/>
        <v>0</v>
      </c>
      <c r="S59" s="19">
        <f t="shared" si="9"/>
        <v>0</v>
      </c>
      <c r="T59" s="19">
        <f>IF(A59&lt;Assumptions!$B$69,0,IF(A59=Assumptions!$B$69,$B$16*Q59,$B$16*P59))</f>
        <v>0</v>
      </c>
      <c r="U59" s="19">
        <f t="shared" si="10"/>
        <v>0</v>
      </c>
      <c r="V59" s="19">
        <f t="shared" si="11"/>
        <v>0</v>
      </c>
    </row>
    <row r="60" spans="1:22">
      <c r="A60" s="1">
        <v>35</v>
      </c>
      <c r="B60" s="18">
        <f t="shared" si="0"/>
        <v>0</v>
      </c>
      <c r="C60" s="18">
        <f t="shared" si="1"/>
        <v>0</v>
      </c>
      <c r="D60" s="18">
        <f t="shared" si="2"/>
        <v>0</v>
      </c>
      <c r="E60" s="18">
        <f t="shared" si="3"/>
        <v>0</v>
      </c>
      <c r="F60" s="18">
        <f t="shared" si="4"/>
        <v>0</v>
      </c>
      <c r="G60" s="18">
        <f t="shared" si="5"/>
        <v>0</v>
      </c>
      <c r="H60" s="18">
        <f t="shared" si="6"/>
        <v>0</v>
      </c>
      <c r="I60" s="18">
        <f t="shared" si="12"/>
        <v>95</v>
      </c>
      <c r="J60" s="19">
        <f>B60*$C$5*$D$5*Assumptions!$E$17*(1+$G$5/12)^MAX(0,A60-$E$5)*IF(AND(A60&gt;=$E$5,(A60-$E$5)&lt;ROUNDUP($I$5/MAX($F$5,1),0)),1-$H$5,1)</f>
        <v>0</v>
      </c>
      <c r="K60" s="19">
        <f>C60*$C$6*$D$6*Assumptions!$E$17*(1+$G$6/12)^MAX(0,A60-$E$6)*IF(AND(A60&gt;=$E$6,(A60-$E$6)&lt;ROUNDUP($I$6/MAX($F$6,1),0)),1-$H$6,1)</f>
        <v>0</v>
      </c>
      <c r="L60" s="19">
        <f>D60*$C$7*$D$7*Assumptions!$E$17*(1+$G$7/12)^MAX(0,A60-$E$7)*IF(AND(A60&gt;=$E$7,(A60-$E$7)&lt;ROUNDUP($I$7/MAX($F$7,1),0)),1-$H$7,1)</f>
        <v>0</v>
      </c>
      <c r="M60" s="19">
        <f>E60*$C$8*$D$8*Assumptions!$E$17*(1+$G$8/12)^MAX(0,A60-$E$8)*IF(AND(A60&gt;=$E$8,(A60-$E$8)&lt;ROUNDUP($I$8/MAX($F$8,1),0)),1-$H$8,1)</f>
        <v>0</v>
      </c>
      <c r="N60" s="19">
        <f>F60*$C$9*$D$9*Assumptions!$E$17*(1+$G$9/12)^MAX(0,A60-$E$9)*IF(AND(A60&gt;=$E$9,(A60-$E$9)&lt;ROUNDUP($I$9/MAX($F$9,1),0)),1-$H$9,1)</f>
        <v>0</v>
      </c>
      <c r="O60" s="19">
        <f>G60*$C$10*$D$10*Assumptions!$E$17*(1+$G$10/12)^MAX(0,A60-$E$10)*IF(AND(A60&gt;=$E$10,(A60-$E$10)&lt;ROUNDUP($I$10/MAX($F$10,1),0)),1-$H$10,1)</f>
        <v>0</v>
      </c>
      <c r="P60" s="19">
        <f t="shared" si="7"/>
        <v>0</v>
      </c>
      <c r="Q60" s="19">
        <f t="shared" si="13"/>
        <v>1119327144.0365865</v>
      </c>
      <c r="R60" s="19">
        <f t="shared" si="8"/>
        <v>0</v>
      </c>
      <c r="S60" s="19">
        <f t="shared" si="9"/>
        <v>0</v>
      </c>
      <c r="T60" s="19">
        <f>IF(A60&lt;Assumptions!$B$69,0,IF(A60=Assumptions!$B$69,$B$16*Q60,$B$16*P60))</f>
        <v>0</v>
      </c>
      <c r="U60" s="19">
        <f t="shared" si="10"/>
        <v>0</v>
      </c>
      <c r="V60" s="19">
        <f t="shared" si="11"/>
        <v>0</v>
      </c>
    </row>
    <row r="61" spans="1:22">
      <c r="A61" s="1">
        <v>36</v>
      </c>
      <c r="B61" s="18">
        <f t="shared" si="0"/>
        <v>0</v>
      </c>
      <c r="C61" s="18">
        <f t="shared" si="1"/>
        <v>0</v>
      </c>
      <c r="D61" s="18">
        <f t="shared" si="2"/>
        <v>0</v>
      </c>
      <c r="E61" s="18">
        <f t="shared" si="3"/>
        <v>0</v>
      </c>
      <c r="F61" s="18">
        <f t="shared" si="4"/>
        <v>0</v>
      </c>
      <c r="G61" s="18">
        <f t="shared" si="5"/>
        <v>0</v>
      </c>
      <c r="H61" s="18">
        <f t="shared" si="6"/>
        <v>0</v>
      </c>
      <c r="I61" s="18">
        <f t="shared" si="12"/>
        <v>95</v>
      </c>
      <c r="J61" s="19">
        <f>B61*$C$5*$D$5*Assumptions!$E$17*(1+$G$5/12)^MAX(0,A61-$E$5)*IF(AND(A61&gt;=$E$5,(A61-$E$5)&lt;ROUNDUP($I$5/MAX($F$5,1),0)),1-$H$5,1)</f>
        <v>0</v>
      </c>
      <c r="K61" s="19">
        <f>C61*$C$6*$D$6*Assumptions!$E$17*(1+$G$6/12)^MAX(0,A61-$E$6)*IF(AND(A61&gt;=$E$6,(A61-$E$6)&lt;ROUNDUP($I$6/MAX($F$6,1),0)),1-$H$6,1)</f>
        <v>0</v>
      </c>
      <c r="L61" s="19">
        <f>D61*$C$7*$D$7*Assumptions!$E$17*(1+$G$7/12)^MAX(0,A61-$E$7)*IF(AND(A61&gt;=$E$7,(A61-$E$7)&lt;ROUNDUP($I$7/MAX($F$7,1),0)),1-$H$7,1)</f>
        <v>0</v>
      </c>
      <c r="M61" s="19">
        <f>E61*$C$8*$D$8*Assumptions!$E$17*(1+$G$8/12)^MAX(0,A61-$E$8)*IF(AND(A61&gt;=$E$8,(A61-$E$8)&lt;ROUNDUP($I$8/MAX($F$8,1),0)),1-$H$8,1)</f>
        <v>0</v>
      </c>
      <c r="N61" s="19">
        <f>F61*$C$9*$D$9*Assumptions!$E$17*(1+$G$9/12)^MAX(0,A61-$E$9)*IF(AND(A61&gt;=$E$9,(A61-$E$9)&lt;ROUNDUP($I$9/MAX($F$9,1),0)),1-$H$9,1)</f>
        <v>0</v>
      </c>
      <c r="O61" s="19">
        <f>G61*$C$10*$D$10*Assumptions!$E$17*(1+$G$10/12)^MAX(0,A61-$E$10)*IF(AND(A61&gt;=$E$10,(A61-$E$10)&lt;ROUNDUP($I$10/MAX($F$10,1),0)),1-$H$10,1)</f>
        <v>0</v>
      </c>
      <c r="P61" s="19">
        <f t="shared" si="7"/>
        <v>0</v>
      </c>
      <c r="Q61" s="19">
        <f t="shared" si="13"/>
        <v>1119327144.0365865</v>
      </c>
      <c r="R61" s="19">
        <f t="shared" si="8"/>
        <v>0</v>
      </c>
      <c r="S61" s="19">
        <f t="shared" si="9"/>
        <v>0</v>
      </c>
      <c r="T61" s="19">
        <f>IF(A61&lt;Assumptions!$B$69,0,IF(A61=Assumptions!$B$69,$B$16*Q61,$B$16*P61))</f>
        <v>0</v>
      </c>
      <c r="U61" s="19">
        <f t="shared" si="10"/>
        <v>0</v>
      </c>
      <c r="V61" s="19">
        <f t="shared" si="11"/>
        <v>0</v>
      </c>
    </row>
    <row r="62" spans="1:22">
      <c r="A62" s="35" t="s">
        <v>192</v>
      </c>
      <c r="B62" s="35"/>
      <c r="C62" s="35"/>
      <c r="D62" s="35"/>
      <c r="E62" s="35"/>
      <c r="F62" s="35"/>
      <c r="G62" s="35"/>
      <c r="H62" s="67">
        <f>SUM(H25:H61)</f>
        <v>95</v>
      </c>
      <c r="I62" s="35"/>
      <c r="J62" s="35"/>
      <c r="K62" s="35"/>
      <c r="L62" s="35"/>
      <c r="M62" s="35"/>
      <c r="N62" s="35"/>
      <c r="O62" s="35"/>
      <c r="P62" s="68">
        <f>SUM(P25:P61)</f>
        <v>1119327144.0365865</v>
      </c>
      <c r="Q62" s="35"/>
      <c r="R62" s="68">
        <f>SUM(R25:R61)</f>
        <v>167899071.60548797</v>
      </c>
      <c r="S62" s="68">
        <f>SUM(S25:S61)</f>
        <v>391764500.4128052</v>
      </c>
      <c r="T62" s="68">
        <f>SUM(T25:T61)</f>
        <v>559663572.01829326</v>
      </c>
      <c r="U62" s="68">
        <f>SUM(U25:U61)</f>
        <v>1119327144.0365865</v>
      </c>
      <c r="V62" s="68">
        <f>SUM(V25:V61)</f>
        <v>27983178.600914665</v>
      </c>
    </row>
    <row r="63" spans="1:22">
      <c r="A63" s="1"/>
      <c r="B63" s="1"/>
      <c r="C63" s="1"/>
      <c r="D63" s="1"/>
      <c r="E63" s="1"/>
      <c r="F63" s="1"/>
      <c r="G63" s="1"/>
      <c r="H63" s="1"/>
      <c r="I63" s="1"/>
      <c r="J63" s="1"/>
      <c r="K63" s="1"/>
      <c r="L63" s="1"/>
      <c r="M63" s="1"/>
      <c r="N63" s="1"/>
      <c r="O63" s="1"/>
      <c r="P63" s="1"/>
      <c r="Q63" s="1"/>
      <c r="R63" s="1"/>
      <c r="S63" s="1"/>
      <c r="T63" s="1"/>
      <c r="U63" s="1"/>
      <c r="V63" s="1"/>
    </row>
    <row r="64" spans="1:22">
      <c r="A64" s="29" t="s">
        <v>193</v>
      </c>
      <c r="B64" s="30"/>
      <c r="C64" s="30"/>
      <c r="D64" s="30"/>
      <c r="E64" s="30"/>
      <c r="F64" s="30"/>
      <c r="G64" s="30"/>
      <c r="H64" s="30"/>
      <c r="I64" s="30"/>
      <c r="J64" s="30"/>
      <c r="K64" s="30"/>
      <c r="L64" s="30"/>
      <c r="M64" s="30"/>
      <c r="N64" s="30"/>
      <c r="O64" s="30"/>
      <c r="P64" s="30"/>
      <c r="Q64" s="30"/>
      <c r="R64" s="30"/>
      <c r="S64" s="30"/>
      <c r="T64" s="30"/>
      <c r="U64" s="30"/>
      <c r="V64" s="30"/>
    </row>
  </sheetData>
  <mergeCells count="3">
    <mergeCell ref="A1:V1"/>
    <mergeCell ref="A3:I3"/>
    <mergeCell ref="A12:I12"/>
  </mergeCells>
  <conditionalFormatting sqref="B17">
    <cfRule type="cellIs" dxfId="3" priority="2" operator="notEqual">
      <formula>1</formula>
    </cfRule>
    <cfRule type="cellIs" dxfId="2" priority="3" operator="equal">
      <formula>1</formula>
    </cfRule>
  </conditionalFormatting>
  <printOptions horizontalCentered="1"/>
  <pageMargins left="0.27777777777777779" right="0.27777777777777779" top="0.33333333333333331" bottom="0.33333333333333331" header="0.511811023622047" footer="0.511811023622047"/>
  <pageSetup scale="45"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Dashboard</vt:lpstr>
      <vt:lpstr>Guide</vt:lpstr>
      <vt:lpstr>Model Checks</vt:lpstr>
      <vt:lpstr>Sources Register</vt:lpstr>
      <vt:lpstr>Scenario Comparison</vt:lpstr>
      <vt:lpstr>Programme &amp; Funding Triggers</vt:lpstr>
      <vt:lpstr>Unit Mix Analytics</vt:lpstr>
      <vt:lpstr>Assumptions</vt:lpstr>
      <vt:lpstr>Sales</vt:lpstr>
      <vt:lpstr>Cashflow</vt:lpstr>
      <vt:lpstr>Returns &amp; Waterfall</vt:lpstr>
      <vt:lpstr>Sensitivity</vt:lpstr>
      <vt:lpstr>Lender &amp; Risk</vt:lpstr>
      <vt:lpstr>Dashboard!Print_Area</vt:lpstr>
      <vt:lpstr>'Sources Register'!Print_Titles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Apartment Underwriting Model</dc:title>
  <dc:subject/>
  <dc:creator>The Development Playbook - Raphael Mwito</dc:creator>
  <dc:description/>
  <cp:lastModifiedBy>Ngugi PC</cp:lastModifiedBy>
  <cp:revision>1</cp:revision>
  <dcterms:created xsi:type="dcterms:W3CDTF">2026-06-25T15:45:47Z</dcterms:created>
  <dcterms:modified xsi:type="dcterms:W3CDTF">2026-06-26T17:06:36Z</dcterms:modified>
  <dc:language>en-US</dc:language>
</cp:coreProperties>
</file>